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9440" windowHeight="9975" activeTab="1"/>
  </bookViews>
  <sheets>
    <sheet name="Gráf1" sheetId="5" r:id="rId1"/>
    <sheet name="orçamento" sheetId="1" r:id="rId2"/>
    <sheet name="cronograma" sheetId="4" r:id="rId3"/>
    <sheet name="Plan2" sheetId="2" r:id="rId4"/>
    <sheet name="Plan3" sheetId="3" r:id="rId5"/>
  </sheets>
  <definedNames>
    <definedName name="_xlnm.Print_Area" localSheetId="2">cronograma!$A$1:$K$19</definedName>
    <definedName name="_xlnm.Print_Area" localSheetId="1">orçamento!$A$1:$I$99</definedName>
  </definedNames>
  <calcPr calcId="124519"/>
</workbook>
</file>

<file path=xl/calcChain.xml><?xml version="1.0" encoding="utf-8"?>
<calcChain xmlns="http://schemas.openxmlformats.org/spreadsheetml/2006/main">
  <c r="F62" i="1"/>
  <c r="H62"/>
  <c r="I62" s="1"/>
  <c r="F54"/>
  <c r="F55"/>
  <c r="F53"/>
  <c r="F42"/>
  <c r="F49"/>
  <c r="H30"/>
  <c r="I30"/>
  <c r="H90"/>
  <c r="I90" s="1"/>
  <c r="F27"/>
  <c r="G26" l="1"/>
  <c r="F60"/>
  <c r="H51"/>
  <c r="I51" s="1"/>
  <c r="F94"/>
  <c r="H95"/>
  <c r="I95" s="1"/>
  <c r="H93"/>
  <c r="F93"/>
  <c r="F97"/>
  <c r="H97"/>
  <c r="H92"/>
  <c r="I92" s="1"/>
  <c r="H94"/>
  <c r="I94" s="1"/>
  <c r="H96"/>
  <c r="I96" s="1"/>
  <c r="H50"/>
  <c r="I50" s="1"/>
  <c r="H49"/>
  <c r="I49" s="1"/>
  <c r="H66"/>
  <c r="I66" s="1"/>
  <c r="H60"/>
  <c r="H61"/>
  <c r="H59"/>
  <c r="I59" s="1"/>
  <c r="I60" l="1"/>
  <c r="I97"/>
  <c r="I61"/>
  <c r="I93"/>
  <c r="G29"/>
  <c r="H29" s="1"/>
  <c r="I29" s="1"/>
  <c r="F28"/>
  <c r="H26"/>
  <c r="I26" s="1"/>
  <c r="H27"/>
  <c r="I27" s="1"/>
  <c r="H28"/>
  <c r="F12"/>
  <c r="H48"/>
  <c r="I48" s="1"/>
  <c r="B14" i="4"/>
  <c r="B13"/>
  <c r="B12"/>
  <c r="B11"/>
  <c r="B10"/>
  <c r="B9"/>
  <c r="B8"/>
  <c r="B7"/>
  <c r="B6"/>
  <c r="B5"/>
  <c r="B4"/>
  <c r="F34" i="1"/>
  <c r="H91"/>
  <c r="I91" s="1"/>
  <c r="I28" l="1"/>
  <c r="G25"/>
  <c r="F11"/>
  <c r="H63"/>
  <c r="I63" s="1"/>
  <c r="H64"/>
  <c r="I64" s="1"/>
  <c r="H65"/>
  <c r="I65" s="1"/>
  <c r="F87" l="1"/>
  <c r="F86"/>
  <c r="H83"/>
  <c r="I83" s="1"/>
  <c r="H81"/>
  <c r="I81" s="1"/>
  <c r="H82"/>
  <c r="F82"/>
  <c r="H80"/>
  <c r="F80"/>
  <c r="H79"/>
  <c r="I79" s="1"/>
  <c r="H78"/>
  <c r="F78"/>
  <c r="H77"/>
  <c r="H75"/>
  <c r="H76"/>
  <c r="F76"/>
  <c r="F77"/>
  <c r="F75"/>
  <c r="G72"/>
  <c r="H72" s="1"/>
  <c r="F25"/>
  <c r="H21"/>
  <c r="H44"/>
  <c r="I44" s="1"/>
  <c r="F24"/>
  <c r="F23"/>
  <c r="F19"/>
  <c r="F18"/>
  <c r="F13"/>
  <c r="H8"/>
  <c r="I8" s="1"/>
  <c r="H20"/>
  <c r="I20" s="1"/>
  <c r="H22"/>
  <c r="I22" s="1"/>
  <c r="H23"/>
  <c r="H24"/>
  <c r="H32"/>
  <c r="H33"/>
  <c r="H34"/>
  <c r="I34" s="1"/>
  <c r="H38"/>
  <c r="H41"/>
  <c r="I41" s="1"/>
  <c r="H42"/>
  <c r="I42" s="1"/>
  <c r="H43"/>
  <c r="I43" s="1"/>
  <c r="H45"/>
  <c r="I45" s="1"/>
  <c r="H46"/>
  <c r="H47"/>
  <c r="I47" s="1"/>
  <c r="H55"/>
  <c r="I55" s="1"/>
  <c r="H58"/>
  <c r="I58" s="1"/>
  <c r="H68"/>
  <c r="H69"/>
  <c r="I69" s="1"/>
  <c r="H86"/>
  <c r="I86" s="1"/>
  <c r="H87"/>
  <c r="H88"/>
  <c r="I88" s="1"/>
  <c r="H89"/>
  <c r="I89" s="1"/>
  <c r="H5"/>
  <c r="I5" s="1"/>
  <c r="I4" s="1"/>
  <c r="G54"/>
  <c r="H54" s="1"/>
  <c r="I54" s="1"/>
  <c r="G53"/>
  <c r="H53" s="1"/>
  <c r="I53" s="1"/>
  <c r="I57" l="1"/>
  <c r="C11" i="4" s="1"/>
  <c r="I23" i="1"/>
  <c r="I87"/>
  <c r="I85" s="1"/>
  <c r="I24"/>
  <c r="I21"/>
  <c r="I72"/>
  <c r="I71" s="1"/>
  <c r="C13" i="4" s="1"/>
  <c r="I38" i="1"/>
  <c r="I52"/>
  <c r="C10" i="4" s="1"/>
  <c r="I68" i="1"/>
  <c r="C12" i="4" s="1"/>
  <c r="I80" i="1"/>
  <c r="I77"/>
  <c r="I82"/>
  <c r="I75"/>
  <c r="I78"/>
  <c r="I76"/>
  <c r="C14" i="4" l="1"/>
  <c r="F46" i="1"/>
  <c r="G37"/>
  <c r="H37" s="1"/>
  <c r="I37" s="1"/>
  <c r="I36" s="1"/>
  <c r="C8" i="4" s="1"/>
  <c r="I46" i="1" l="1"/>
  <c r="I40" s="1"/>
  <c r="K36"/>
  <c r="F33"/>
  <c r="I33" s="1"/>
  <c r="F32"/>
  <c r="I32" s="1"/>
  <c r="N31"/>
  <c r="H25"/>
  <c r="I25" s="1"/>
  <c r="G19"/>
  <c r="H19" s="1"/>
  <c r="I19" s="1"/>
  <c r="G18"/>
  <c r="H18" s="1"/>
  <c r="I18" s="1"/>
  <c r="G15"/>
  <c r="H15" s="1"/>
  <c r="I15" s="1"/>
  <c r="G14"/>
  <c r="H14" s="1"/>
  <c r="I14" s="1"/>
  <c r="G13"/>
  <c r="H13" s="1"/>
  <c r="I13" s="1"/>
  <c r="G12"/>
  <c r="H12" s="1"/>
  <c r="I12" s="1"/>
  <c r="G11"/>
  <c r="H11" s="1"/>
  <c r="I11" s="1"/>
  <c r="G7"/>
  <c r="H7" s="1"/>
  <c r="I7" s="1"/>
  <c r="G6"/>
  <c r="H6" s="1"/>
  <c r="I6" s="1"/>
  <c r="I17" l="1"/>
  <c r="C6" i="4" s="1"/>
  <c r="C9"/>
  <c r="I31" i="1"/>
  <c r="C7" i="4" s="1"/>
  <c r="I10" i="1"/>
  <c r="I98" l="1"/>
  <c r="C5" i="4"/>
  <c r="C4"/>
  <c r="K15" i="1"/>
  <c r="H15" i="4" l="1"/>
  <c r="D15"/>
  <c r="G15"/>
  <c r="K15"/>
  <c r="J15"/>
  <c r="I15"/>
  <c r="E15"/>
  <c r="C15"/>
  <c r="F15"/>
  <c r="D16"/>
  <c r="C16"/>
  <c r="E16" l="1"/>
  <c r="F16" s="1"/>
  <c r="G16" s="1"/>
  <c r="H16" s="1"/>
  <c r="I16" s="1"/>
  <c r="J16" s="1"/>
  <c r="K16" s="1"/>
</calcChain>
</file>

<file path=xl/sharedStrings.xml><?xml version="1.0" encoding="utf-8"?>
<sst xmlns="http://schemas.openxmlformats.org/spreadsheetml/2006/main" count="271" uniqueCount="136">
  <si>
    <t>Descrição</t>
  </si>
  <si>
    <t>unidade</t>
  </si>
  <si>
    <t>Preço unitário</t>
  </si>
  <si>
    <t>Preço Total</t>
  </si>
  <si>
    <t>Quantidade</t>
  </si>
  <si>
    <t>Semana 1</t>
  </si>
  <si>
    <t>Semana 2</t>
  </si>
  <si>
    <t>Semana 3</t>
  </si>
  <si>
    <t>Semana 4</t>
  </si>
  <si>
    <t>Cronograma Fisico - Financeiro</t>
  </si>
  <si>
    <t>Item</t>
  </si>
  <si>
    <t>Código</t>
  </si>
  <si>
    <t>Fonte</t>
  </si>
  <si>
    <t>Serviços Preliminares</t>
  </si>
  <si>
    <t>1.1</t>
  </si>
  <si>
    <t>1.2</t>
  </si>
  <si>
    <t>1.3</t>
  </si>
  <si>
    <t>1.4</t>
  </si>
  <si>
    <t>Instalação provisória de água</t>
  </si>
  <si>
    <t>Instalação provisório de energia elétrica em baixa tensão</t>
  </si>
  <si>
    <t>Demolição</t>
  </si>
  <si>
    <t>Demolição de parte da arquibancada pra saída de emergencia</t>
  </si>
  <si>
    <t>Demolição de degrau em frente ao vestiário e reconstrução do piso em nível</t>
  </si>
  <si>
    <t>Demolição de estrutura de madeira existente em frente ao ginásio</t>
  </si>
  <si>
    <t>Saídas de Emergência</t>
  </si>
  <si>
    <t>Restauração da quadra de madeira</t>
  </si>
  <si>
    <t>Serviços Complementares</t>
  </si>
  <si>
    <t>Escavação manual em material de 1ª categoria para exposição dos baldrames externos</t>
  </si>
  <si>
    <t>Aplicação de tinta betuminosa sobre os baldrames - e até 20 cm nas paredes externas -  para impermeabilização</t>
  </si>
  <si>
    <t>Pintura</t>
  </si>
  <si>
    <t>Praça</t>
  </si>
  <si>
    <t>74209/1</t>
  </si>
  <si>
    <t>Sinapi</t>
  </si>
  <si>
    <t>Deinfra</t>
  </si>
  <si>
    <t>74220/1</t>
  </si>
  <si>
    <t>Placa da obra em chapa de aço galvanizado - Padrão Fornecido pela Prefeitura</t>
  </si>
  <si>
    <t>m2</t>
  </si>
  <si>
    <t>ud</t>
  </si>
  <si>
    <t>m3</t>
  </si>
  <si>
    <t>Demolição de calçada em concreto para restauração da drenagem</t>
  </si>
  <si>
    <t>Retirada de  alambrados com tela galvanizada do ginásio</t>
  </si>
  <si>
    <t>Jateamento de areia para recuperação das estruturas metálicas</t>
  </si>
  <si>
    <t>Pintura esmalte brilhante ( 2 demãos) sobre superfície metálica, inclusive proteção com zarcão (1 demão).</t>
  </si>
  <si>
    <t>Retirar guardacorpos metálicos</t>
  </si>
  <si>
    <t>m</t>
  </si>
  <si>
    <t>Recuperação / revisão de Janelas de ferro com instalação com vidros 6mm, inclusive argamassa, jateamento de areia, recuperação estrutural e reinstalação</t>
  </si>
  <si>
    <t>Porta Corta-fogo 240 x 210 x 4 cm, inclusive fechadura tipo barra antipânico e demais ferragens para Saída de emergência. Fornecimento e instalação</t>
  </si>
  <si>
    <t>Porta Corta-fogo 210 x 210 x 4 cm, inclusive fechadura tipo barra antipânico e demais ferragens para Saída de emergência. Fornecimento e instalação</t>
  </si>
  <si>
    <t>Porta Corta-fogo 90 x 210 x 4 cm, inclusive fechadura tipo barra antipânico e demais ferragens para Saída de emergência. Fornecimento e instalação ( 2 und)</t>
  </si>
  <si>
    <t xml:space="preserve">Piso cerâmico antiderrapante PEI V - 45 x 45 cm,  inclusive rejunte, argamassa colante e demais acessórios para instalação. Aplicado nos banheiros </t>
  </si>
  <si>
    <t>Porta de madeira interna 210 x 80 x 3,5 cm, com batentes 7,5cm, fechadura e dobradiças.</t>
  </si>
  <si>
    <t>und</t>
  </si>
  <si>
    <t>Pintura acrilica de faixas de damarcação em quadrada.</t>
  </si>
  <si>
    <t>Restauração do piso de madeira da quadra esportiva</t>
  </si>
  <si>
    <t>Chumbador tipo parafuso autoatarraxante p/ concreto, zincado,  diam. 10mm x comprimento 100mm, para fixação dos assentos (2 c/ 2m)</t>
  </si>
  <si>
    <t>Pintura esmalte acetinado em madeira ( 2 demãos). Fornecimento e aplicação</t>
  </si>
  <si>
    <t>73739/1</t>
  </si>
  <si>
    <t>Tabua de madeira para assentos,  tratada e beneficiada , c/ largura de 30cm e espessura de 2,5cm. Fornec. e aplicação.</t>
  </si>
  <si>
    <t>Mercado</t>
  </si>
  <si>
    <t>Raspagem de pintura antiga</t>
  </si>
  <si>
    <t>Limpeza de alvenaria para nova pintura</t>
  </si>
  <si>
    <t>74106/1</t>
  </si>
  <si>
    <t>74156/3</t>
  </si>
  <si>
    <t>BDI</t>
  </si>
  <si>
    <t>C/ BDI</t>
  </si>
  <si>
    <t>Porta de madeira interna 210 x 70 x 3,5 cm, com batentes 7,5cm, fechadura e dobradiças. Fornecimento e instalação em banheiros</t>
  </si>
  <si>
    <t>Retirada de brisês metálicos.</t>
  </si>
  <si>
    <t xml:space="preserve">Deinfra </t>
  </si>
  <si>
    <t>Abrigo para Gás</t>
  </si>
  <si>
    <t>Abrigo completo para gás 1,20 x 1,0 x 1,40 para 2 botijões de 13 kg, em alvenaria revestida com chapisco, emboço e reboco, laje em concreto, estrado de madeira, porta externa de ferro, tubulação para instalação e registro. Fornecimento e instalação</t>
  </si>
  <si>
    <t>Calçada externa - Saída de Emergência</t>
  </si>
  <si>
    <t>Concreto Fck = 25 MPA, preparo e lançamento</t>
  </si>
  <si>
    <t>kg</t>
  </si>
  <si>
    <t>Aço CA - 50 Ø 10 mm, fornecimento e instalação, inclusive cortes, dobras e espaçadores. Inclusive armadura estacas broca ( 4 Ø 10 mm)</t>
  </si>
  <si>
    <t>Forma de madeira para os 2 lados da contenção, sem reaproveitamento.</t>
  </si>
  <si>
    <t>Muro em concreto armado Fck 25 Mpa com alavancas a cada 2,1 metros nas seguintes dimensões 14,80 x 1,5 x 0,20 metros.</t>
  </si>
  <si>
    <t>Estaca broca Ø 20 cm em concreto FCK 20 Mpa e armadura CA - 50 Ø 10 mm</t>
  </si>
  <si>
    <t>Aterro em areia para dreno - Inclusive barbacãs com tubo pvc Ø 50 mm revestido com tela de mosquiteiro</t>
  </si>
  <si>
    <t xml:space="preserve">Reaterro com solo de boa qualidade, compactado manualmente. Fornecimento de material e compactação </t>
  </si>
  <si>
    <t>Contrapiso em argamassa traço 1:5 (cimento e areia) com espessura de 5 cm</t>
  </si>
  <si>
    <t>Camada de brita para regularização do subleito com espessura de 5 cm</t>
  </si>
  <si>
    <t>Guarda-corpo com corrimão em tubo de aço galvanizado 1 1/2". Fornecimento e instalação</t>
  </si>
  <si>
    <t>Pintura com tinta  acrílica ( 2 demãos) - interna e externamente. Fornecimento e aplicação</t>
  </si>
  <si>
    <t>74245/1</t>
  </si>
  <si>
    <t>TOTAL</t>
  </si>
  <si>
    <t>Recorte de telhamento metálico e terça metálica</t>
  </si>
  <si>
    <t>Calha em chapa de aço galvanizado número 24, desenvolvimento 33 cm.</t>
  </si>
  <si>
    <t>mercado</t>
  </si>
  <si>
    <t>Pintura anti derrapante para piso - 2 demãos</t>
  </si>
  <si>
    <t>Orçamento - 2ª Reforma do Ginásio Municipal</t>
  </si>
  <si>
    <t>Contrapiso em argamassa traço 1:4 esp. 5 cm, preparado em betoneira, inclusive requadro. Fornec. E execução.</t>
  </si>
  <si>
    <t>Argamassa traço 1:4 para preencimento dos blocos de concreto de borda. Fornecimento e aplicação</t>
  </si>
  <si>
    <t>Valores dos serviços</t>
  </si>
  <si>
    <t xml:space="preserve">Total </t>
  </si>
  <si>
    <t>Total Acumulado</t>
  </si>
  <si>
    <t>Semana 5</t>
  </si>
  <si>
    <t>Semana 6</t>
  </si>
  <si>
    <t>Semana 7</t>
  </si>
  <si>
    <t>Semana 8</t>
  </si>
  <si>
    <t>Tapume de chapa de madeira compensada 6mm c/ 2m de altura</t>
  </si>
  <si>
    <t>Demolição de alvenaria para saída de emergencia junto ao bar e para execução de balcões na parte frontal</t>
  </si>
  <si>
    <t>Adequação dos  guarda-corpos metálicos ao padrão Bombeiros / SC</t>
  </si>
  <si>
    <t>Andaime para retirada e recolocação de estruturas metálicas, com reaproveitamento</t>
  </si>
  <si>
    <t>Recuperação e Instalação das estruturas metálicas</t>
  </si>
  <si>
    <t>Porta de enrolar manual completa, articulada raiada larga, em aço galvanizado natural, chapa número 24</t>
  </si>
  <si>
    <t>h</t>
  </si>
  <si>
    <t>Instalação das portas de enrolar (considerando 1 serralheiro (Sinapi 6110) + 1 ajudante ( Sinapi 252))</t>
  </si>
  <si>
    <t>6110 + 252</t>
  </si>
  <si>
    <t>Alvenaria de vedação de blocos vazados de concreto 9 x 19 x 39 para execução dos balcões, inclusive argamassa de assentamento em betoneira</t>
  </si>
  <si>
    <t>Concreto Fck = 15 Mpa, traço 1: 3,4: 3,5 com preparo mecânico com betoneira, para preenchimento dos blocos de concreto e tampos em concreto (5cm). Fornecimento e aplicação</t>
  </si>
  <si>
    <t>Aço CA-50 Ø 8mm para reforço, ancoragem dos blocos de concreto e tampos de concreto. Inclusive fornecimento, corte e dobras.</t>
  </si>
  <si>
    <t xml:space="preserve">Chapisco para reboco de aderência em paredes internas e externas </t>
  </si>
  <si>
    <t xml:space="preserve">Emboço para paredes internas e externas, traço 1:2:9 - preparo manual - espessura 2 cm  </t>
  </si>
  <si>
    <t xml:space="preserve">Reboco para paredes internas e externas, traço 1:4,5 - espessura 0,5 cm  </t>
  </si>
  <si>
    <t>Vaso sanitário sifonado com caixa acoplada, louça branca, inclusive engate flexível em plástico branco (1/2 x 40cm). Fornecimento e instalação com rejunte e demais acessórios.</t>
  </si>
  <si>
    <t>Lixeira conteiner em aço galvanizado com duas tampas e 1400 Lts.</t>
  </si>
  <si>
    <t>cotação</t>
  </si>
  <si>
    <t>Piso em concreto magro e = 5 cm para fundação da lixeira</t>
  </si>
  <si>
    <t>Assentamento de piso vinílico (M.O)</t>
  </si>
  <si>
    <t>Eletroduto rígido roscável, PVC, DN 32mm (1") e conduletes cor cinza para instalações aparentes. Fornecimento e instalação (inclusive acessórios de fixação) e eletricista para remanejamento dos cabos.</t>
  </si>
  <si>
    <t>Tampa para condulete em pvc para interruptor. Fornecimento e instalação</t>
  </si>
  <si>
    <t>Forro em réguas de pvc, frisado, inclusive estrutura de fixação. Fornecimento e instalação.</t>
  </si>
  <si>
    <t>Reinstalação dos brisês metálicos (soldador 88317 + ajudante 88240)</t>
  </si>
  <si>
    <t>H</t>
  </si>
  <si>
    <t>74244/001</t>
  </si>
  <si>
    <t>Placa de sinalização acrilico 16 x 25. Fornecimento e instalação</t>
  </si>
  <si>
    <t>Reinstalação da estrutura dos alambrados (somente parte inferior) com adaptação da base para o sistema removível - buchas (inclusive  base conf. Detalhe proj.). Fornecimento e instalação</t>
  </si>
  <si>
    <t>Grade de ferro simples para proteção das janelas</t>
  </si>
  <si>
    <t>Reforma dos banheiros / vestiários</t>
  </si>
  <si>
    <t>Revestimento cerâmico para paredes internas com placas tipo esmaltada extra de dimensões 20 x 20 cm, inclusive rejunte e acessórios. Aplicada 2 metros de altura. Fornecimento e aplicação</t>
  </si>
  <si>
    <t>Pintura tinta oleo para portas - 2 demãos</t>
  </si>
  <si>
    <t>Alvenaria e tampos de concreto</t>
  </si>
  <si>
    <t>Alvenaria com tijolo de 1/2 vez na  saída de emergência,  fechamento lateral da arquibancada, fechamento de porta existente na lateral do ginásio, com argamassa de assentamento. Fornecimento e execução.</t>
  </si>
  <si>
    <t>Forma de madeira em chapa de madeira compensada plastificada e = 18mm. Fornecimento e execução</t>
  </si>
  <si>
    <t>Fornecimento e instalação de bancos de madeira com respaldo e fixação com concreto executado in loco</t>
  </si>
  <si>
    <t>Piso vinílico semiflexível em placas 30 x 30 cm com Flash e esp. = 2mm. Para entrada do ginásio.</t>
  </si>
</sst>
</file>

<file path=xl/styles.xml><?xml version="1.0" encoding="utf-8"?>
<styleSheet xmlns="http://schemas.openxmlformats.org/spreadsheetml/2006/main">
  <numFmts count="3">
    <numFmt numFmtId="44" formatCode="_-&quot;R$&quot;\ * #,##0.00_-;\-&quot;R$&quot;\ * #,##0.00_-;_-&quot;R$&quot;\ * &quot;-&quot;??_-;_-@_-"/>
    <numFmt numFmtId="164" formatCode="&quot;R$&quot;\ #,##0.00"/>
    <numFmt numFmtId="166" formatCode="0.00000"/>
  </numFmts>
  <fonts count="7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164" fontId="0" fillId="0" borderId="0" xfId="0" applyNumberFormat="1"/>
    <xf numFmtId="0" fontId="3" fillId="0" borderId="1" xfId="0" applyFont="1" applyBorder="1"/>
    <xf numFmtId="164" fontId="4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/>
    <xf numFmtId="164" fontId="1" fillId="0" borderId="1" xfId="0" applyNumberFormat="1" applyFont="1" applyFill="1" applyBorder="1" applyAlignment="1">
      <alignment horizontal="center"/>
    </xf>
    <xf numFmtId="44" fontId="4" fillId="0" borderId="1" xfId="1" applyFont="1" applyBorder="1"/>
    <xf numFmtId="0" fontId="0" fillId="0" borderId="1" xfId="0" applyBorder="1" applyAlignment="1"/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/>
    <xf numFmtId="0" fontId="2" fillId="0" borderId="1" xfId="0" applyFont="1" applyFill="1" applyBorder="1"/>
    <xf numFmtId="9" fontId="1" fillId="3" borderId="4" xfId="2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0" fillId="4" borderId="1" xfId="0" applyFill="1" applyBorder="1"/>
    <xf numFmtId="0" fontId="2" fillId="4" borderId="1" xfId="0" applyFont="1" applyFill="1" applyBorder="1"/>
    <xf numFmtId="0" fontId="1" fillId="4" borderId="1" xfId="0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wrapText="1"/>
    </xf>
    <xf numFmtId="0" fontId="0" fillId="4" borderId="1" xfId="0" applyFill="1" applyBorder="1" applyAlignment="1"/>
    <xf numFmtId="0" fontId="2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0" xfId="0" applyFont="1"/>
    <xf numFmtId="44" fontId="1" fillId="0" borderId="1" xfId="1" applyFont="1" applyBorder="1" applyAlignment="1">
      <alignment horizontal="left" vertical="center" wrapText="1"/>
    </xf>
    <xf numFmtId="44" fontId="1" fillId="0" borderId="1" xfId="1" applyFont="1" applyBorder="1" applyAlignment="1">
      <alignment horizontal="left" vertical="center"/>
    </xf>
    <xf numFmtId="44" fontId="1" fillId="0" borderId="1" xfId="1" applyFont="1" applyBorder="1"/>
    <xf numFmtId="0" fontId="2" fillId="0" borderId="1" xfId="0" applyFont="1" applyBorder="1"/>
    <xf numFmtId="9" fontId="1" fillId="0" borderId="1" xfId="2" applyFont="1" applyFill="1" applyBorder="1" applyAlignment="1">
      <alignment horizontal="center" vertical="center" wrapText="1"/>
    </xf>
    <xf numFmtId="9" fontId="1" fillId="0" borderId="1" xfId="2" applyFont="1" applyFill="1" applyBorder="1" applyAlignment="1">
      <alignment horizontal="center" vertical="center"/>
    </xf>
    <xf numFmtId="9" fontId="1" fillId="0" borderId="1" xfId="2" applyFont="1" applyFill="1" applyBorder="1" applyAlignment="1">
      <alignment horizontal="center"/>
    </xf>
    <xf numFmtId="9" fontId="1" fillId="0" borderId="1" xfId="2" applyFont="1" applyFill="1" applyBorder="1" applyAlignment="1">
      <alignment horizontal="center" wrapText="1"/>
    </xf>
    <xf numFmtId="44" fontId="4" fillId="0" borderId="1" xfId="0" applyNumberFormat="1" applyFont="1" applyBorder="1"/>
    <xf numFmtId="166" fontId="0" fillId="0" borderId="0" xfId="0" applyNumberFormat="1"/>
    <xf numFmtId="0" fontId="4" fillId="0" borderId="1" xfId="0" applyFont="1" applyBorder="1"/>
    <xf numFmtId="44" fontId="6" fillId="0" borderId="1" xfId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orçamento!$D$73</c:f>
              <c:strCache>
                <c:ptCount val="1"/>
                <c:pt idx="0">
                  <c:v>Calçada externa - Saída de Emergência</c:v>
                </c:pt>
              </c:strCache>
            </c:strRef>
          </c:tx>
          <c:val>
            <c:numRef>
              <c:f>orçamento!$D$74</c:f>
            </c:numRef>
          </c:val>
        </c:ser>
        <c:axId val="152191744"/>
        <c:axId val="152193280"/>
      </c:barChart>
      <c:catAx>
        <c:axId val="152191744"/>
        <c:scaling>
          <c:orientation val="minMax"/>
        </c:scaling>
        <c:axPos val="b"/>
        <c:tickLblPos val="nextTo"/>
        <c:crossAx val="152193280"/>
        <c:crosses val="autoZero"/>
        <c:auto val="1"/>
        <c:lblAlgn val="ctr"/>
        <c:lblOffset val="100"/>
      </c:catAx>
      <c:valAx>
        <c:axId val="152193280"/>
        <c:scaling>
          <c:orientation val="minMax"/>
        </c:scaling>
        <c:axPos val="l"/>
        <c:majorGridlines/>
        <c:numFmt formatCode="General" sourceLinked="1"/>
        <c:tickLblPos val="nextTo"/>
        <c:crossAx val="152191744"/>
        <c:crosses val="autoZero"/>
        <c:crossBetween val="between"/>
      </c:valAx>
    </c:plotArea>
    <c:legend>
      <c:legendPos val="r"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642593" cy="6008981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1514475</xdr:colOff>
      <xdr:row>0</xdr:row>
      <xdr:rowOff>76200</xdr:rowOff>
    </xdr:from>
    <xdr:to>
      <xdr:col>6</xdr:col>
      <xdr:colOff>333375</xdr:colOff>
      <xdr:row>2</xdr:row>
      <xdr:rowOff>19050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43275" y="76200"/>
          <a:ext cx="6248400" cy="19431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235403</xdr:colOff>
      <xdr:row>0</xdr:row>
      <xdr:rowOff>103414</xdr:rowOff>
    </xdr:from>
    <xdr:to>
      <xdr:col>7</xdr:col>
      <xdr:colOff>874939</xdr:colOff>
      <xdr:row>2</xdr:row>
      <xdr:rowOff>46264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77367" y="103414"/>
          <a:ext cx="6245679" cy="19431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01"/>
  <sheetViews>
    <sheetView tabSelected="1" topLeftCell="A96" workbookViewId="0">
      <selection activeCell="F11" sqref="F11"/>
    </sheetView>
  </sheetViews>
  <sheetFormatPr defaultRowHeight="15"/>
  <cols>
    <col min="2" max="2" width="9.7109375" customWidth="1"/>
    <col min="4" max="4" width="93.140625" customWidth="1"/>
    <col min="7" max="7" width="12.28515625" bestFit="1" customWidth="1"/>
    <col min="8" max="8" width="12.28515625" customWidth="1"/>
    <col min="9" max="9" width="16.42578125" customWidth="1"/>
    <col min="11" max="11" width="12.7109375" bestFit="1" customWidth="1"/>
  </cols>
  <sheetData>
    <row r="1" spans="1:11" ht="126.75" customHeight="1">
      <c r="D1" s="60"/>
      <c r="E1" s="60"/>
      <c r="F1" s="60"/>
      <c r="G1" s="60"/>
      <c r="H1" s="60"/>
      <c r="I1" s="60"/>
    </row>
    <row r="2" spans="1:11" ht="30.75" customHeight="1">
      <c r="A2" s="61" t="s">
        <v>89</v>
      </c>
      <c r="B2" s="62"/>
      <c r="C2" s="62"/>
      <c r="D2" s="62"/>
      <c r="E2" s="62"/>
      <c r="F2" s="62"/>
      <c r="G2" s="62"/>
      <c r="H2" s="29" t="s">
        <v>63</v>
      </c>
      <c r="I2" s="28">
        <v>0.22</v>
      </c>
    </row>
    <row r="3" spans="1:11" ht="30.75" customHeight="1">
      <c r="A3" s="2" t="s">
        <v>10</v>
      </c>
      <c r="B3" s="2" t="s">
        <v>11</v>
      </c>
      <c r="C3" s="2" t="s">
        <v>12</v>
      </c>
      <c r="D3" s="2" t="s">
        <v>0</v>
      </c>
      <c r="E3" s="2" t="s">
        <v>1</v>
      </c>
      <c r="F3" s="2" t="s">
        <v>4</v>
      </c>
      <c r="G3" s="2" t="s">
        <v>2</v>
      </c>
      <c r="H3" s="2" t="s">
        <v>64</v>
      </c>
      <c r="I3" s="2" t="s">
        <v>3</v>
      </c>
    </row>
    <row r="4" spans="1:11" ht="15" customHeight="1">
      <c r="A4" s="33">
        <v>1</v>
      </c>
      <c r="B4" s="33"/>
      <c r="C4" s="33"/>
      <c r="D4" s="41" t="s">
        <v>13</v>
      </c>
      <c r="E4" s="42"/>
      <c r="F4" s="42"/>
      <c r="G4" s="37"/>
      <c r="H4" s="37"/>
      <c r="I4" s="38">
        <f>I5+I8</f>
        <v>3902.26</v>
      </c>
    </row>
    <row r="5" spans="1:11" ht="15" customHeight="1">
      <c r="A5" s="19" t="s">
        <v>14</v>
      </c>
      <c r="B5" s="19" t="s">
        <v>31</v>
      </c>
      <c r="C5" s="19" t="s">
        <v>32</v>
      </c>
      <c r="D5" s="23" t="s">
        <v>35</v>
      </c>
      <c r="E5" s="3" t="s">
        <v>36</v>
      </c>
      <c r="F5" s="3">
        <v>6</v>
      </c>
      <c r="G5" s="4">
        <v>368.13</v>
      </c>
      <c r="H5" s="4">
        <f>G5*(1+$I$2)</f>
        <v>449.11859999999996</v>
      </c>
      <c r="I5" s="5">
        <f>TRUNC(H5*F5,2)</f>
        <v>2694.71</v>
      </c>
    </row>
    <row r="6" spans="1:11" ht="15" hidden="1" customHeight="1">
      <c r="A6" s="19" t="s">
        <v>15</v>
      </c>
      <c r="B6" s="19">
        <v>42570</v>
      </c>
      <c r="C6" s="19" t="s">
        <v>33</v>
      </c>
      <c r="D6" s="23" t="s">
        <v>18</v>
      </c>
      <c r="E6" s="3" t="s">
        <v>37</v>
      </c>
      <c r="F6" s="3">
        <v>1</v>
      </c>
      <c r="G6" s="4">
        <f>909.81/1.2784</f>
        <v>711.67866082603246</v>
      </c>
      <c r="H6" s="4">
        <f t="shared" ref="H6:H89" si="0">G6*(1+$I$2)</f>
        <v>868.24796620775953</v>
      </c>
      <c r="I6" s="5">
        <f t="shared" ref="I6:I8" si="1">TRUNC(H6*F6,2)</f>
        <v>868.24</v>
      </c>
    </row>
    <row r="7" spans="1:11" ht="15" hidden="1" customHeight="1">
      <c r="A7" s="19" t="s">
        <v>16</v>
      </c>
      <c r="B7" s="19">
        <v>43240</v>
      </c>
      <c r="C7" s="19" t="s">
        <v>33</v>
      </c>
      <c r="D7" s="23" t="s">
        <v>19</v>
      </c>
      <c r="E7" s="3" t="s">
        <v>37</v>
      </c>
      <c r="F7" s="3">
        <v>1</v>
      </c>
      <c r="G7" s="4">
        <f>2355.79/1.2784</f>
        <v>1842.764392991239</v>
      </c>
      <c r="H7" s="4">
        <f t="shared" si="0"/>
        <v>2248.1725594493114</v>
      </c>
      <c r="I7" s="5">
        <f t="shared" si="1"/>
        <v>2248.17</v>
      </c>
    </row>
    <row r="8" spans="1:11" ht="15" customHeight="1">
      <c r="A8" s="19" t="s">
        <v>17</v>
      </c>
      <c r="B8" s="19" t="s">
        <v>34</v>
      </c>
      <c r="C8" s="19" t="s">
        <v>32</v>
      </c>
      <c r="D8" s="23" t="s">
        <v>99</v>
      </c>
      <c r="E8" s="3" t="s">
        <v>36</v>
      </c>
      <c r="F8" s="3">
        <v>20</v>
      </c>
      <c r="G8" s="4">
        <v>49.49</v>
      </c>
      <c r="H8" s="4">
        <f t="shared" si="0"/>
        <v>60.377800000000001</v>
      </c>
      <c r="I8" s="5">
        <f t="shared" si="1"/>
        <v>1207.55</v>
      </c>
    </row>
    <row r="9" spans="1:11" ht="15" customHeight="1">
      <c r="A9" s="19"/>
      <c r="B9" s="19"/>
      <c r="C9" s="19"/>
      <c r="D9" s="23"/>
      <c r="E9" s="3"/>
      <c r="F9" s="3"/>
      <c r="G9" s="4"/>
      <c r="H9" s="4"/>
      <c r="I9" s="5"/>
    </row>
    <row r="10" spans="1:11" s="1" customFormat="1" ht="15" customHeight="1">
      <c r="A10" s="44">
        <v>2</v>
      </c>
      <c r="B10" s="44"/>
      <c r="C10" s="44"/>
      <c r="D10" s="45" t="s">
        <v>20</v>
      </c>
      <c r="E10" s="46"/>
      <c r="F10" s="35"/>
      <c r="G10" s="36"/>
      <c r="H10" s="37"/>
      <c r="I10" s="38">
        <f>SUM(I11:I15)</f>
        <v>2021.55</v>
      </c>
    </row>
    <row r="11" spans="1:11" s="1" customFormat="1" ht="15" customHeight="1">
      <c r="A11" s="22"/>
      <c r="B11" s="22">
        <v>42544</v>
      </c>
      <c r="C11" s="22" t="s">
        <v>33</v>
      </c>
      <c r="D11" s="24" t="s">
        <v>21</v>
      </c>
      <c r="E11" s="6" t="s">
        <v>38</v>
      </c>
      <c r="F11" s="7">
        <f>3.35*1.5</f>
        <v>5.0250000000000004</v>
      </c>
      <c r="G11" s="8">
        <f>236.06/1.2784</f>
        <v>184.65269086357947</v>
      </c>
      <c r="H11" s="4">
        <f t="shared" si="0"/>
        <v>225.27628285356695</v>
      </c>
      <c r="I11" s="5">
        <f>TRUNC(H11*F11,2)</f>
        <v>1132.01</v>
      </c>
    </row>
    <row r="12" spans="1:11" s="1" customFormat="1" ht="29.25" customHeight="1">
      <c r="A12" s="22"/>
      <c r="B12" s="22">
        <v>42528</v>
      </c>
      <c r="C12" s="22" t="s">
        <v>33</v>
      </c>
      <c r="D12" s="23" t="s">
        <v>100</v>
      </c>
      <c r="E12" s="6" t="s">
        <v>36</v>
      </c>
      <c r="F12" s="7">
        <f>1.3*2.1+2*3*1.5</f>
        <v>11.73</v>
      </c>
      <c r="G12" s="8">
        <f>7.88/1.2784</f>
        <v>6.1639549436795997</v>
      </c>
      <c r="H12" s="4">
        <f t="shared" si="0"/>
        <v>7.5200250312891113</v>
      </c>
      <c r="I12" s="5">
        <f t="shared" ref="I12:I15" si="2">TRUNC(H12*F12,2)</f>
        <v>88.2</v>
      </c>
    </row>
    <row r="13" spans="1:11" s="1" customFormat="1" ht="15" customHeight="1">
      <c r="A13" s="22"/>
      <c r="B13" s="22">
        <v>42544</v>
      </c>
      <c r="C13" s="22" t="s">
        <v>33</v>
      </c>
      <c r="D13" s="24" t="s">
        <v>22</v>
      </c>
      <c r="E13" s="6" t="s">
        <v>38</v>
      </c>
      <c r="F13" s="7">
        <f>1.3*0.3*0.3</f>
        <v>0.11699999999999999</v>
      </c>
      <c r="G13" s="8">
        <f>236.06/1.2784</f>
        <v>184.65269086357947</v>
      </c>
      <c r="H13" s="4">
        <f t="shared" si="0"/>
        <v>225.27628285356695</v>
      </c>
      <c r="I13" s="5">
        <f t="shared" si="2"/>
        <v>26.35</v>
      </c>
    </row>
    <row r="14" spans="1:11" s="1" customFormat="1" ht="15" customHeight="1">
      <c r="A14" s="22"/>
      <c r="B14" s="22">
        <v>42535</v>
      </c>
      <c r="C14" s="22" t="s">
        <v>33</v>
      </c>
      <c r="D14" s="24" t="s">
        <v>39</v>
      </c>
      <c r="E14" s="6" t="s">
        <v>36</v>
      </c>
      <c r="F14" s="7">
        <v>5</v>
      </c>
      <c r="G14" s="8">
        <f>18.92/1.2784</f>
        <v>14.799749687108887</v>
      </c>
      <c r="H14" s="4">
        <f t="shared" si="0"/>
        <v>18.055694618272842</v>
      </c>
      <c r="I14" s="5">
        <f t="shared" si="2"/>
        <v>90.27</v>
      </c>
    </row>
    <row r="15" spans="1:11" ht="15" customHeight="1">
      <c r="A15" s="19"/>
      <c r="B15" s="19">
        <v>42542</v>
      </c>
      <c r="C15" s="19" t="s">
        <v>33</v>
      </c>
      <c r="D15" s="23" t="s">
        <v>23</v>
      </c>
      <c r="E15" s="3" t="s">
        <v>36</v>
      </c>
      <c r="F15" s="9">
        <v>35</v>
      </c>
      <c r="G15" s="10">
        <f>20.5/1.2784</f>
        <v>16.03566958698373</v>
      </c>
      <c r="H15" s="4">
        <f t="shared" si="0"/>
        <v>19.563516896120149</v>
      </c>
      <c r="I15" s="5">
        <f t="shared" si="2"/>
        <v>684.72</v>
      </c>
      <c r="K15" s="15" t="e">
        <f>#REF!+I19+I20+I31</f>
        <v>#REF!</v>
      </c>
    </row>
    <row r="16" spans="1:11" ht="15" customHeight="1">
      <c r="A16" s="19"/>
      <c r="B16" s="19"/>
      <c r="C16" s="19"/>
      <c r="D16" s="23"/>
      <c r="E16" s="3"/>
      <c r="F16" s="9"/>
      <c r="G16" s="10"/>
      <c r="H16" s="4"/>
      <c r="I16" s="5"/>
      <c r="K16" s="15"/>
    </row>
    <row r="17" spans="1:14" ht="15" customHeight="1">
      <c r="A17" s="33">
        <v>3</v>
      </c>
      <c r="B17" s="33"/>
      <c r="C17" s="33"/>
      <c r="D17" s="41" t="s">
        <v>103</v>
      </c>
      <c r="E17" s="42"/>
      <c r="F17" s="43"/>
      <c r="G17" s="39"/>
      <c r="H17" s="37"/>
      <c r="I17" s="38">
        <f>SUM(I18:I30)</f>
        <v>24830.100000000002</v>
      </c>
      <c r="K17" s="15"/>
    </row>
    <row r="18" spans="1:14" ht="15" customHeight="1">
      <c r="A18" s="19"/>
      <c r="B18" s="19">
        <v>42553</v>
      </c>
      <c r="C18" s="19" t="s">
        <v>33</v>
      </c>
      <c r="D18" s="23" t="s">
        <v>40</v>
      </c>
      <c r="E18" s="3" t="s">
        <v>36</v>
      </c>
      <c r="F18" s="9">
        <f>65*3</f>
        <v>195</v>
      </c>
      <c r="G18" s="10">
        <f>4.73/1.2784</f>
        <v>3.6999374217772218</v>
      </c>
      <c r="H18" s="4">
        <f t="shared" si="0"/>
        <v>4.5139236545682104</v>
      </c>
      <c r="I18" s="5">
        <f>TRUNC(H18*F18,2)</f>
        <v>880.21</v>
      </c>
      <c r="K18" s="15"/>
    </row>
    <row r="19" spans="1:14" ht="30.75" customHeight="1">
      <c r="A19" s="19"/>
      <c r="B19" s="19">
        <v>42553</v>
      </c>
      <c r="C19" s="19" t="s">
        <v>33</v>
      </c>
      <c r="D19" s="25" t="s">
        <v>43</v>
      </c>
      <c r="E19" s="7" t="s">
        <v>36</v>
      </c>
      <c r="F19" s="7">
        <f>7.5*4*1.2</f>
        <v>36</v>
      </c>
      <c r="G19" s="20">
        <f>4.73/1.2784</f>
        <v>3.6999374217772218</v>
      </c>
      <c r="H19" s="4">
        <f t="shared" si="0"/>
        <v>4.5139236545682104</v>
      </c>
      <c r="I19" s="5">
        <f t="shared" ref="I19:I25" si="3">TRUNC(H19*F19,2)</f>
        <v>162.5</v>
      </c>
    </row>
    <row r="20" spans="1:14" ht="31.5" customHeight="1">
      <c r="A20" s="19"/>
      <c r="B20" s="31">
        <v>42553</v>
      </c>
      <c r="C20" s="31" t="s">
        <v>67</v>
      </c>
      <c r="D20" s="25" t="s">
        <v>66</v>
      </c>
      <c r="E20" s="7" t="s">
        <v>36</v>
      </c>
      <c r="F20" s="7">
        <v>12</v>
      </c>
      <c r="G20" s="8">
        <v>3.7</v>
      </c>
      <c r="H20" s="4">
        <f t="shared" si="0"/>
        <v>4.5140000000000002</v>
      </c>
      <c r="I20" s="5">
        <f t="shared" si="3"/>
        <v>54.16</v>
      </c>
    </row>
    <row r="21" spans="1:14" ht="31.5" customHeight="1">
      <c r="A21" s="19"/>
      <c r="B21" s="31">
        <v>73674</v>
      </c>
      <c r="C21" s="31" t="s">
        <v>32</v>
      </c>
      <c r="D21" s="25" t="s">
        <v>102</v>
      </c>
      <c r="E21" s="7" t="s">
        <v>36</v>
      </c>
      <c r="F21" s="7">
        <v>20</v>
      </c>
      <c r="G21" s="8">
        <v>22.67</v>
      </c>
      <c r="H21" s="4">
        <f t="shared" ref="H21" si="4">G21*(1+$I$2)</f>
        <v>27.657400000000003</v>
      </c>
      <c r="I21" s="5">
        <f t="shared" si="3"/>
        <v>553.14</v>
      </c>
    </row>
    <row r="22" spans="1:14" ht="31.5" customHeight="1">
      <c r="A22" s="19"/>
      <c r="B22" s="19">
        <v>73656</v>
      </c>
      <c r="C22" s="19" t="s">
        <v>32</v>
      </c>
      <c r="D22" s="24" t="s">
        <v>41</v>
      </c>
      <c r="E22" s="6" t="s">
        <v>36</v>
      </c>
      <c r="F22" s="7">
        <v>64</v>
      </c>
      <c r="G22" s="20">
        <v>14.4</v>
      </c>
      <c r="H22" s="4">
        <f t="shared" si="0"/>
        <v>17.568000000000001</v>
      </c>
      <c r="I22" s="5">
        <f t="shared" si="3"/>
        <v>1124.3499999999999</v>
      </c>
    </row>
    <row r="23" spans="1:14" ht="31.5" customHeight="1">
      <c r="A23" s="19"/>
      <c r="B23" s="19">
        <v>95468</v>
      </c>
      <c r="C23" s="19" t="s">
        <v>32</v>
      </c>
      <c r="D23" s="23" t="s">
        <v>42</v>
      </c>
      <c r="E23" s="6" t="s">
        <v>36</v>
      </c>
      <c r="F23" s="7">
        <f>F22</f>
        <v>64</v>
      </c>
      <c r="G23" s="20">
        <v>36.08</v>
      </c>
      <c r="H23" s="4">
        <f t="shared" si="0"/>
        <v>44.017599999999995</v>
      </c>
      <c r="I23" s="5">
        <f t="shared" si="3"/>
        <v>2817.12</v>
      </c>
    </row>
    <row r="24" spans="1:14" ht="31.5" customHeight="1">
      <c r="A24" s="19"/>
      <c r="B24" s="19">
        <v>84862</v>
      </c>
      <c r="C24" s="19" t="s">
        <v>32</v>
      </c>
      <c r="D24" s="23" t="s">
        <v>101</v>
      </c>
      <c r="E24" s="6" t="s">
        <v>44</v>
      </c>
      <c r="F24" s="7">
        <f>7.5*4</f>
        <v>30</v>
      </c>
      <c r="G24" s="20">
        <v>100</v>
      </c>
      <c r="H24" s="4">
        <f t="shared" si="0"/>
        <v>122</v>
      </c>
      <c r="I24" s="5">
        <f t="shared" si="3"/>
        <v>3660</v>
      </c>
    </row>
    <row r="25" spans="1:14" ht="31.5" customHeight="1">
      <c r="A25" s="19"/>
      <c r="B25" s="19">
        <v>42686</v>
      </c>
      <c r="C25" s="19" t="s">
        <v>33</v>
      </c>
      <c r="D25" s="25" t="s">
        <v>45</v>
      </c>
      <c r="E25" s="7" t="s">
        <v>36</v>
      </c>
      <c r="F25" s="30">
        <f>7*3.7*1</f>
        <v>25.900000000000002</v>
      </c>
      <c r="G25" s="8">
        <f>343.48/1.2784*0.5</f>
        <v>134.33979974968713</v>
      </c>
      <c r="H25" s="4">
        <f t="shared" si="0"/>
        <v>163.8945556946183</v>
      </c>
      <c r="I25" s="5">
        <f t="shared" si="3"/>
        <v>4244.8599999999997</v>
      </c>
    </row>
    <row r="26" spans="1:14" ht="31.5" customHeight="1">
      <c r="A26" s="19"/>
      <c r="B26" s="19">
        <v>88317</v>
      </c>
      <c r="C26" s="19" t="s">
        <v>32</v>
      </c>
      <c r="D26" s="25" t="s">
        <v>122</v>
      </c>
      <c r="E26" s="7" t="s">
        <v>123</v>
      </c>
      <c r="F26" s="30">
        <v>16</v>
      </c>
      <c r="G26" s="8">
        <f>21.49+10.76</f>
        <v>32.25</v>
      </c>
      <c r="H26" s="4">
        <f t="shared" ref="H26:H28" si="5">G26*(1+$I$2)</f>
        <v>39.344999999999999</v>
      </c>
      <c r="I26" s="5">
        <f t="shared" ref="I26:I28" si="6">TRUNC(H26*F26,2)</f>
        <v>629.52</v>
      </c>
    </row>
    <row r="27" spans="1:14" ht="31.5" customHeight="1">
      <c r="A27" s="19"/>
      <c r="B27" s="19" t="s">
        <v>124</v>
      </c>
      <c r="C27" s="19" t="s">
        <v>32</v>
      </c>
      <c r="D27" s="25" t="s">
        <v>126</v>
      </c>
      <c r="E27" s="7" t="s">
        <v>36</v>
      </c>
      <c r="F27" s="30">
        <f>195*0.2</f>
        <v>39</v>
      </c>
      <c r="G27" s="8">
        <v>99.97</v>
      </c>
      <c r="H27" s="4">
        <f t="shared" si="5"/>
        <v>121.96339999999999</v>
      </c>
      <c r="I27" s="5">
        <f t="shared" si="6"/>
        <v>4756.57</v>
      </c>
    </row>
    <row r="28" spans="1:14" ht="31.5" customHeight="1">
      <c r="A28" s="19"/>
      <c r="B28" s="19">
        <v>4911</v>
      </c>
      <c r="C28" s="19" t="s">
        <v>32</v>
      </c>
      <c r="D28" s="25" t="s">
        <v>104</v>
      </c>
      <c r="E28" s="7" t="s">
        <v>36</v>
      </c>
      <c r="F28" s="30">
        <f>3*1.5*2</f>
        <v>9</v>
      </c>
      <c r="G28" s="8">
        <v>117.72</v>
      </c>
      <c r="H28" s="4">
        <f t="shared" si="5"/>
        <v>143.61840000000001</v>
      </c>
      <c r="I28" s="5">
        <f t="shared" si="6"/>
        <v>1292.56</v>
      </c>
    </row>
    <row r="29" spans="1:14" ht="31.5" customHeight="1">
      <c r="A29" s="19"/>
      <c r="B29" s="19" t="s">
        <v>107</v>
      </c>
      <c r="C29" s="19" t="s">
        <v>32</v>
      </c>
      <c r="D29" s="25" t="s">
        <v>106</v>
      </c>
      <c r="E29" s="7" t="s">
        <v>105</v>
      </c>
      <c r="F29" s="30">
        <v>8</v>
      </c>
      <c r="G29" s="8">
        <f>17.86+13.43</f>
        <v>31.29</v>
      </c>
      <c r="H29" s="4">
        <f t="shared" ref="H29" si="7">G29*(1+$I$2)</f>
        <v>38.1738</v>
      </c>
      <c r="I29" s="5">
        <f t="shared" ref="I29" si="8">TRUNC(H29*F29,2)</f>
        <v>305.39</v>
      </c>
    </row>
    <row r="30" spans="1:14" ht="31.5" customHeight="1">
      <c r="A30" s="19"/>
      <c r="B30" s="19">
        <v>42892</v>
      </c>
      <c r="C30" s="19" t="s">
        <v>33</v>
      </c>
      <c r="D30" s="25" t="s">
        <v>127</v>
      </c>
      <c r="E30" s="7" t="s">
        <v>36</v>
      </c>
      <c r="F30" s="30">
        <v>15</v>
      </c>
      <c r="G30" s="8">
        <v>237.69</v>
      </c>
      <c r="H30" s="4">
        <f t="shared" ref="H30" si="9">G30*(1+$I$2)</f>
        <v>289.98179999999996</v>
      </c>
      <c r="I30" s="5">
        <f t="shared" ref="I30" si="10">TRUNC(H30*F30,2)</f>
        <v>4349.72</v>
      </c>
    </row>
    <row r="31" spans="1:14" ht="31.5" customHeight="1">
      <c r="A31" s="33">
        <v>3</v>
      </c>
      <c r="B31" s="33"/>
      <c r="C31" s="33"/>
      <c r="D31" s="40" t="s">
        <v>24</v>
      </c>
      <c r="E31" s="35"/>
      <c r="F31" s="35"/>
      <c r="G31" s="36"/>
      <c r="H31" s="37"/>
      <c r="I31" s="38">
        <f>SUM(I32:I34)</f>
        <v>8992.6200000000008</v>
      </c>
      <c r="N31">
        <f>35*2*27</f>
        <v>1890</v>
      </c>
    </row>
    <row r="32" spans="1:14" ht="31.5" customHeight="1">
      <c r="A32" s="19"/>
      <c r="B32" s="19">
        <v>90838</v>
      </c>
      <c r="C32" s="19" t="s">
        <v>32</v>
      </c>
      <c r="D32" s="25" t="s">
        <v>46</v>
      </c>
      <c r="E32" s="7" t="s">
        <v>36</v>
      </c>
      <c r="F32" s="7">
        <f>2.4*2.1</f>
        <v>5.04</v>
      </c>
      <c r="G32" s="8">
        <v>650</v>
      </c>
      <c r="H32" s="4">
        <f t="shared" si="0"/>
        <v>793</v>
      </c>
      <c r="I32" s="5">
        <f>TRUNC(H32*F32,2)</f>
        <v>3996.72</v>
      </c>
    </row>
    <row r="33" spans="1:11" ht="31.5" customHeight="1">
      <c r="A33" s="19"/>
      <c r="B33" s="19">
        <v>90838</v>
      </c>
      <c r="C33" s="19" t="s">
        <v>32</v>
      </c>
      <c r="D33" s="25" t="s">
        <v>47</v>
      </c>
      <c r="E33" s="7" t="s">
        <v>36</v>
      </c>
      <c r="F33" s="7">
        <f>2.1*2.1</f>
        <v>4.41</v>
      </c>
      <c r="G33" s="8">
        <v>650</v>
      </c>
      <c r="H33" s="4">
        <f t="shared" si="0"/>
        <v>793</v>
      </c>
      <c r="I33" s="5">
        <f t="shared" ref="I33:I34" si="11">TRUNC(H33*F33,2)</f>
        <v>3497.13</v>
      </c>
    </row>
    <row r="34" spans="1:11" ht="31.5" customHeight="1">
      <c r="A34" s="19"/>
      <c r="B34" s="19">
        <v>90838</v>
      </c>
      <c r="C34" s="19" t="s">
        <v>32</v>
      </c>
      <c r="D34" s="25" t="s">
        <v>48</v>
      </c>
      <c r="E34" s="7" t="s">
        <v>36</v>
      </c>
      <c r="F34" s="7">
        <f>0.9*2.1</f>
        <v>1.8900000000000001</v>
      </c>
      <c r="G34" s="8">
        <v>650</v>
      </c>
      <c r="H34" s="4">
        <f t="shared" si="0"/>
        <v>793</v>
      </c>
      <c r="I34" s="5">
        <f t="shared" si="11"/>
        <v>1498.77</v>
      </c>
    </row>
    <row r="35" spans="1:11">
      <c r="A35" s="19"/>
      <c r="B35" s="19"/>
      <c r="C35" s="19"/>
      <c r="D35" s="26"/>
      <c r="E35" s="7"/>
      <c r="F35" s="7"/>
      <c r="G35" s="8"/>
      <c r="H35" s="4"/>
      <c r="I35" s="5"/>
    </row>
    <row r="36" spans="1:11">
      <c r="A36" s="33">
        <v>4</v>
      </c>
      <c r="B36" s="33"/>
      <c r="C36" s="33"/>
      <c r="D36" s="34" t="s">
        <v>25</v>
      </c>
      <c r="E36" s="35"/>
      <c r="F36" s="35"/>
      <c r="G36" s="36"/>
      <c r="H36" s="37"/>
      <c r="I36" s="38">
        <f>SUM(I37:I38)</f>
        <v>10317.68</v>
      </c>
      <c r="K36" s="15" t="e">
        <f>I37+#REF!</f>
        <v>#REF!</v>
      </c>
    </row>
    <row r="37" spans="1:11">
      <c r="A37" s="19"/>
      <c r="B37" s="19">
        <v>43818</v>
      </c>
      <c r="C37" s="19" t="s">
        <v>33</v>
      </c>
      <c r="D37" s="26" t="s">
        <v>53</v>
      </c>
      <c r="E37" s="7" t="s">
        <v>36</v>
      </c>
      <c r="F37" s="7">
        <v>550</v>
      </c>
      <c r="G37" s="8">
        <f>14.21/1.2784</f>
        <v>11.115456821026283</v>
      </c>
      <c r="H37" s="4">
        <f t="shared" si="0"/>
        <v>13.560857321652065</v>
      </c>
      <c r="I37" s="5">
        <f>TRUNC(H37*F37,2)</f>
        <v>7458.47</v>
      </c>
    </row>
    <row r="38" spans="1:11">
      <c r="A38" s="19"/>
      <c r="B38" s="19">
        <v>41595</v>
      </c>
      <c r="C38" s="19" t="s">
        <v>32</v>
      </c>
      <c r="D38" s="25" t="s">
        <v>52</v>
      </c>
      <c r="E38" s="7" t="s">
        <v>44</v>
      </c>
      <c r="F38" s="30">
        <v>226</v>
      </c>
      <c r="G38" s="8">
        <v>10.37</v>
      </c>
      <c r="H38" s="4">
        <f t="shared" si="0"/>
        <v>12.651399999999999</v>
      </c>
      <c r="I38" s="5">
        <f>TRUNC(H38*F38,2)</f>
        <v>2859.21</v>
      </c>
    </row>
    <row r="39" spans="1:11">
      <c r="A39" s="19"/>
      <c r="B39" s="19"/>
      <c r="C39" s="19"/>
      <c r="D39" s="25"/>
      <c r="E39" s="7"/>
      <c r="F39" s="30"/>
      <c r="G39" s="8"/>
      <c r="H39" s="4"/>
      <c r="I39" s="5"/>
    </row>
    <row r="40" spans="1:11">
      <c r="A40" s="33">
        <v>5</v>
      </c>
      <c r="B40" s="33"/>
      <c r="C40" s="33"/>
      <c r="D40" s="34" t="s">
        <v>128</v>
      </c>
      <c r="E40" s="35"/>
      <c r="F40" s="35"/>
      <c r="G40" s="36"/>
      <c r="H40" s="37"/>
      <c r="I40" s="38">
        <f>SUM(I41:I51)</f>
        <v>14514.630000000001</v>
      </c>
    </row>
    <row r="41" spans="1:11">
      <c r="A41" s="19"/>
      <c r="B41" s="19" t="s">
        <v>83</v>
      </c>
      <c r="C41" s="19" t="s">
        <v>32</v>
      </c>
      <c r="D41" s="25" t="s">
        <v>88</v>
      </c>
      <c r="E41" s="7" t="s">
        <v>36</v>
      </c>
      <c r="F41" s="7">
        <v>70</v>
      </c>
      <c r="G41" s="8">
        <v>13.05</v>
      </c>
      <c r="H41" s="4">
        <f t="shared" si="0"/>
        <v>15.921000000000001</v>
      </c>
      <c r="I41" s="5">
        <f>TRUNC(H41*F41,2)</f>
        <v>1114.47</v>
      </c>
    </row>
    <row r="42" spans="1:11">
      <c r="A42" s="19"/>
      <c r="B42" s="19">
        <v>79464</v>
      </c>
      <c r="C42" s="19" t="s">
        <v>32</v>
      </c>
      <c r="D42" s="25" t="s">
        <v>130</v>
      </c>
      <c r="E42" s="7" t="s">
        <v>36</v>
      </c>
      <c r="F42" s="7">
        <f>6*2.1*0.8*2+8*2.1*0.7*2</f>
        <v>43.680000000000007</v>
      </c>
      <c r="G42" s="8">
        <v>17.79</v>
      </c>
      <c r="H42" s="4">
        <f t="shared" si="0"/>
        <v>21.703799999999998</v>
      </c>
      <c r="I42" s="5">
        <f t="shared" ref="I42:I51" si="12">TRUNC(H42*F42,2)</f>
        <v>948.02</v>
      </c>
    </row>
    <row r="43" spans="1:11">
      <c r="A43" s="19"/>
      <c r="B43" s="19">
        <v>91011</v>
      </c>
      <c r="C43" s="19" t="s">
        <v>32</v>
      </c>
      <c r="D43" s="26" t="s">
        <v>50</v>
      </c>
      <c r="E43" s="7" t="s">
        <v>51</v>
      </c>
      <c r="F43" s="7">
        <v>6</v>
      </c>
      <c r="G43" s="8">
        <v>274.88</v>
      </c>
      <c r="H43" s="4">
        <f t="shared" si="0"/>
        <v>335.35359999999997</v>
      </c>
      <c r="I43" s="5">
        <f t="shared" si="12"/>
        <v>2012.12</v>
      </c>
    </row>
    <row r="44" spans="1:11" ht="29.25">
      <c r="A44" s="19"/>
      <c r="B44" s="19">
        <v>90820</v>
      </c>
      <c r="C44" s="19" t="s">
        <v>32</v>
      </c>
      <c r="D44" s="25" t="s">
        <v>65</v>
      </c>
      <c r="E44" s="7" t="s">
        <v>51</v>
      </c>
      <c r="F44" s="7">
        <v>8</v>
      </c>
      <c r="G44" s="8">
        <v>238.97</v>
      </c>
      <c r="H44" s="4">
        <f t="shared" si="0"/>
        <v>291.54340000000002</v>
      </c>
      <c r="I44" s="5">
        <f t="shared" si="12"/>
        <v>2332.34</v>
      </c>
    </row>
    <row r="45" spans="1:11" ht="29.25">
      <c r="A45" s="19"/>
      <c r="B45" s="19">
        <v>3992</v>
      </c>
      <c r="C45" s="19" t="s">
        <v>32</v>
      </c>
      <c r="D45" s="25" t="s">
        <v>57</v>
      </c>
      <c r="E45" s="7" t="s">
        <v>44</v>
      </c>
      <c r="F45" s="7">
        <v>26</v>
      </c>
      <c r="G45" s="8">
        <v>20.57</v>
      </c>
      <c r="H45" s="4">
        <f t="shared" si="0"/>
        <v>25.095400000000001</v>
      </c>
      <c r="I45" s="5">
        <f t="shared" si="12"/>
        <v>652.48</v>
      </c>
    </row>
    <row r="46" spans="1:11">
      <c r="A46" s="19"/>
      <c r="B46" s="19" t="s">
        <v>56</v>
      </c>
      <c r="C46" s="19" t="s">
        <v>32</v>
      </c>
      <c r="D46" s="25" t="s">
        <v>55</v>
      </c>
      <c r="E46" s="7" t="s">
        <v>36</v>
      </c>
      <c r="F46" s="7">
        <f>F45*0.3</f>
        <v>7.8</v>
      </c>
      <c r="G46" s="8">
        <v>15.65</v>
      </c>
      <c r="H46" s="4">
        <f t="shared" si="0"/>
        <v>19.093</v>
      </c>
      <c r="I46" s="5">
        <f t="shared" si="12"/>
        <v>148.91999999999999</v>
      </c>
    </row>
    <row r="47" spans="1:11" ht="29.25">
      <c r="A47" s="19"/>
      <c r="B47" s="19"/>
      <c r="C47" s="19" t="s">
        <v>58</v>
      </c>
      <c r="D47" s="25" t="s">
        <v>54</v>
      </c>
      <c r="E47" s="7" t="s">
        <v>51</v>
      </c>
      <c r="F47" s="7">
        <v>26</v>
      </c>
      <c r="G47" s="8">
        <v>0.45</v>
      </c>
      <c r="H47" s="4">
        <f t="shared" si="0"/>
        <v>0.54900000000000004</v>
      </c>
      <c r="I47" s="5">
        <f t="shared" si="12"/>
        <v>14.27</v>
      </c>
    </row>
    <row r="48" spans="1:11" ht="29.25">
      <c r="A48" s="19"/>
      <c r="B48" s="19">
        <v>87251</v>
      </c>
      <c r="C48" s="19" t="s">
        <v>32</v>
      </c>
      <c r="D48" s="13" t="s">
        <v>49</v>
      </c>
      <c r="E48" s="7" t="s">
        <v>36</v>
      </c>
      <c r="F48" s="14">
        <v>16</v>
      </c>
      <c r="G48" s="8">
        <v>24.46</v>
      </c>
      <c r="H48" s="4">
        <f t="shared" si="0"/>
        <v>29.841200000000001</v>
      </c>
      <c r="I48" s="5">
        <f t="shared" si="12"/>
        <v>477.45</v>
      </c>
    </row>
    <row r="49" spans="1:9" ht="43.5">
      <c r="A49" s="19"/>
      <c r="B49" s="19">
        <v>87265</v>
      </c>
      <c r="C49" s="19" t="s">
        <v>32</v>
      </c>
      <c r="D49" s="13" t="s">
        <v>129</v>
      </c>
      <c r="E49" s="7" t="s">
        <v>36</v>
      </c>
      <c r="F49" s="14">
        <f>18*3.5*2</f>
        <v>126</v>
      </c>
      <c r="G49" s="5">
        <v>40.65</v>
      </c>
      <c r="H49" s="4">
        <f t="shared" si="0"/>
        <v>49.592999999999996</v>
      </c>
      <c r="I49" s="5">
        <f t="shared" si="12"/>
        <v>6248.71</v>
      </c>
    </row>
    <row r="50" spans="1:9" ht="29.25">
      <c r="A50" s="19"/>
      <c r="B50" s="19">
        <v>86931</v>
      </c>
      <c r="C50" s="19" t="s">
        <v>32</v>
      </c>
      <c r="D50" s="13" t="s">
        <v>114</v>
      </c>
      <c r="E50" s="7" t="s">
        <v>51</v>
      </c>
      <c r="F50" s="14">
        <v>1</v>
      </c>
      <c r="G50" s="8">
        <v>396.44</v>
      </c>
      <c r="H50" s="4">
        <f t="shared" si="0"/>
        <v>483.65679999999998</v>
      </c>
      <c r="I50" s="5">
        <f t="shared" si="12"/>
        <v>483.65</v>
      </c>
    </row>
    <row r="51" spans="1:9">
      <c r="A51" s="19"/>
      <c r="B51" s="19">
        <v>96111</v>
      </c>
      <c r="C51" s="19" t="s">
        <v>32</v>
      </c>
      <c r="D51" s="13" t="s">
        <v>121</v>
      </c>
      <c r="E51" s="7" t="s">
        <v>36</v>
      </c>
      <c r="F51" s="14">
        <v>2</v>
      </c>
      <c r="G51" s="8">
        <v>33.69</v>
      </c>
      <c r="H51" s="4">
        <f t="shared" si="0"/>
        <v>41.101799999999997</v>
      </c>
      <c r="I51" s="5">
        <f t="shared" si="12"/>
        <v>82.2</v>
      </c>
    </row>
    <row r="52" spans="1:9">
      <c r="A52" s="33">
        <v>6</v>
      </c>
      <c r="B52" s="33"/>
      <c r="C52" s="33"/>
      <c r="D52" s="34" t="s">
        <v>29</v>
      </c>
      <c r="E52" s="35"/>
      <c r="F52" s="35"/>
      <c r="G52" s="36"/>
      <c r="H52" s="37"/>
      <c r="I52" s="38">
        <f>SUM(I53:I55)</f>
        <v>21898.94</v>
      </c>
    </row>
    <row r="53" spans="1:9">
      <c r="A53" s="19"/>
      <c r="B53" s="19">
        <v>42799</v>
      </c>
      <c r="C53" s="19" t="s">
        <v>33</v>
      </c>
      <c r="D53" s="26" t="s">
        <v>59</v>
      </c>
      <c r="E53" s="7" t="s">
        <v>36</v>
      </c>
      <c r="F53" s="30">
        <f>1248</f>
        <v>1248</v>
      </c>
      <c r="G53" s="8">
        <f>3.14/1.2784</f>
        <v>2.4561952440550692</v>
      </c>
      <c r="H53" s="4">
        <f t="shared" si="0"/>
        <v>2.9965581977471842</v>
      </c>
      <c r="I53" s="5">
        <f>TRUNC(H53*F53,2)</f>
        <v>3739.7</v>
      </c>
    </row>
    <row r="54" spans="1:9">
      <c r="A54" s="19"/>
      <c r="B54" s="19">
        <v>42780</v>
      </c>
      <c r="C54" s="19" t="s">
        <v>33</v>
      </c>
      <c r="D54" s="26" t="s">
        <v>60</v>
      </c>
      <c r="E54" s="7" t="s">
        <v>36</v>
      </c>
      <c r="F54" s="30">
        <f>1248</f>
        <v>1248</v>
      </c>
      <c r="G54" s="8">
        <f>5.02/1.2784</f>
        <v>3.926783479349186</v>
      </c>
      <c r="H54" s="4">
        <f t="shared" si="0"/>
        <v>4.7906758448060067</v>
      </c>
      <c r="I54" s="5">
        <f t="shared" ref="I54:I55" si="13">TRUNC(H54*F54,2)</f>
        <v>5978.76</v>
      </c>
    </row>
    <row r="55" spans="1:9">
      <c r="A55" s="19"/>
      <c r="B55" s="19" t="s">
        <v>83</v>
      </c>
      <c r="C55" s="19" t="s">
        <v>32</v>
      </c>
      <c r="D55" s="25" t="s">
        <v>82</v>
      </c>
      <c r="E55" s="7" t="s">
        <v>36</v>
      </c>
      <c r="F55" s="30">
        <f>1248</f>
        <v>1248</v>
      </c>
      <c r="G55" s="8">
        <v>8</v>
      </c>
      <c r="H55" s="4">
        <f t="shared" si="0"/>
        <v>9.76</v>
      </c>
      <c r="I55" s="5">
        <f t="shared" si="13"/>
        <v>12180.48</v>
      </c>
    </row>
    <row r="56" spans="1:9">
      <c r="A56" s="19"/>
      <c r="B56" s="19"/>
      <c r="C56" s="19"/>
      <c r="D56" s="25"/>
      <c r="E56" s="7"/>
      <c r="F56" s="30"/>
      <c r="G56" s="8"/>
      <c r="H56" s="4"/>
      <c r="I56" s="5"/>
    </row>
    <row r="57" spans="1:9">
      <c r="A57" s="33">
        <v>7</v>
      </c>
      <c r="B57" s="33"/>
      <c r="C57" s="33"/>
      <c r="D57" s="34" t="s">
        <v>131</v>
      </c>
      <c r="E57" s="35"/>
      <c r="F57" s="35"/>
      <c r="G57" s="36"/>
      <c r="H57" s="37"/>
      <c r="I57" s="38">
        <f>SUM(I58:I66)</f>
        <v>3894.9</v>
      </c>
    </row>
    <row r="58" spans="1:9" ht="43.5">
      <c r="A58" s="19"/>
      <c r="B58" s="19">
        <v>87477</v>
      </c>
      <c r="C58" s="19" t="s">
        <v>32</v>
      </c>
      <c r="D58" s="25" t="s">
        <v>132</v>
      </c>
      <c r="E58" s="7" t="s">
        <v>36</v>
      </c>
      <c r="F58" s="7">
        <v>13</v>
      </c>
      <c r="G58" s="8">
        <v>34.659999999999997</v>
      </c>
      <c r="H58" s="4">
        <f t="shared" si="0"/>
        <v>42.285199999999996</v>
      </c>
      <c r="I58" s="5">
        <f>TRUNC(H58*F58,2)</f>
        <v>549.70000000000005</v>
      </c>
    </row>
    <row r="59" spans="1:9" ht="29.25">
      <c r="A59" s="19"/>
      <c r="B59" s="19">
        <v>87447</v>
      </c>
      <c r="C59" s="19" t="s">
        <v>32</v>
      </c>
      <c r="D59" s="25" t="s">
        <v>108</v>
      </c>
      <c r="E59" s="7" t="s">
        <v>36</v>
      </c>
      <c r="F59" s="7">
        <v>24</v>
      </c>
      <c r="G59" s="8">
        <v>54.73</v>
      </c>
      <c r="H59" s="4">
        <f t="shared" ref="H59" si="14">G59*(1+$I$2)</f>
        <v>66.770600000000002</v>
      </c>
      <c r="I59" s="5">
        <f>TRUNC(H59*F59,2)</f>
        <v>1602.49</v>
      </c>
    </row>
    <row r="60" spans="1:9" ht="29.25">
      <c r="A60" s="19"/>
      <c r="B60" s="19">
        <v>92793</v>
      </c>
      <c r="C60" s="19" t="s">
        <v>32</v>
      </c>
      <c r="D60" s="25" t="s">
        <v>110</v>
      </c>
      <c r="E60" s="7" t="s">
        <v>72</v>
      </c>
      <c r="F60" s="7">
        <f>3*(3/0.15*0.6*0.395)+3*(10*1.1*2*0.395)</f>
        <v>40.290000000000006</v>
      </c>
      <c r="G60" s="8">
        <v>8.1199999999999992</v>
      </c>
      <c r="H60" s="4">
        <f t="shared" ref="H60:H62" si="15">G60*(1+$I$2)</f>
        <v>9.9063999999999997</v>
      </c>
      <c r="I60" s="5">
        <f t="shared" ref="I60:I62" si="16">TRUNC(H60*F60,2)</f>
        <v>399.12</v>
      </c>
    </row>
    <row r="61" spans="1:9" ht="29.25">
      <c r="A61" s="19"/>
      <c r="B61" s="19">
        <v>94969</v>
      </c>
      <c r="C61" s="19" t="s">
        <v>32</v>
      </c>
      <c r="D61" s="25" t="s">
        <v>109</v>
      </c>
      <c r="E61" s="7" t="s">
        <v>38</v>
      </c>
      <c r="F61" s="7">
        <v>1</v>
      </c>
      <c r="G61" s="8">
        <v>275.74</v>
      </c>
      <c r="H61" s="4">
        <f t="shared" si="15"/>
        <v>336.40280000000001</v>
      </c>
      <c r="I61" s="5">
        <f t="shared" si="16"/>
        <v>336.4</v>
      </c>
    </row>
    <row r="62" spans="1:9" ht="29.25">
      <c r="A62" s="19"/>
      <c r="B62" s="19">
        <v>1345</v>
      </c>
      <c r="C62" s="19" t="s">
        <v>32</v>
      </c>
      <c r="D62" s="25" t="s">
        <v>133</v>
      </c>
      <c r="E62" s="7" t="s">
        <v>36</v>
      </c>
      <c r="F62" s="7">
        <f>(0.05*3*2+0.05*0.6*2)*3</f>
        <v>1.08</v>
      </c>
      <c r="G62" s="8">
        <v>23.73</v>
      </c>
      <c r="H62" s="4">
        <f t="shared" si="15"/>
        <v>28.950600000000001</v>
      </c>
      <c r="I62" s="5">
        <f t="shared" si="16"/>
        <v>31.26</v>
      </c>
    </row>
    <row r="63" spans="1:9">
      <c r="A63" s="19"/>
      <c r="B63" s="19">
        <v>42760</v>
      </c>
      <c r="C63" s="19" t="s">
        <v>33</v>
      </c>
      <c r="D63" s="25" t="s">
        <v>111</v>
      </c>
      <c r="E63" s="7" t="s">
        <v>36</v>
      </c>
      <c r="F63" s="7">
        <v>13</v>
      </c>
      <c r="G63" s="8">
        <v>6.52</v>
      </c>
      <c r="H63" s="4">
        <f t="shared" ref="H63:H66" si="17">G63*(1+$I$2)</f>
        <v>7.9543999999999997</v>
      </c>
      <c r="I63" s="5">
        <f t="shared" ref="I63:I66" si="18">TRUNC(H63*F63,2)</f>
        <v>103.4</v>
      </c>
    </row>
    <row r="64" spans="1:9">
      <c r="A64" s="19"/>
      <c r="B64" s="19">
        <v>43683</v>
      </c>
      <c r="C64" s="19" t="s">
        <v>33</v>
      </c>
      <c r="D64" s="25" t="s">
        <v>112</v>
      </c>
      <c r="E64" s="7" t="s">
        <v>36</v>
      </c>
      <c r="F64" s="7">
        <v>13</v>
      </c>
      <c r="G64" s="8">
        <v>13.3</v>
      </c>
      <c r="H64" s="4">
        <f t="shared" si="17"/>
        <v>16.225999999999999</v>
      </c>
      <c r="I64" s="5">
        <f t="shared" si="18"/>
        <v>210.93</v>
      </c>
    </row>
    <row r="65" spans="1:9">
      <c r="A65" s="19"/>
      <c r="B65" s="19">
        <v>42765</v>
      </c>
      <c r="C65" s="19" t="s">
        <v>33</v>
      </c>
      <c r="D65" s="25" t="s">
        <v>113</v>
      </c>
      <c r="E65" s="7" t="s">
        <v>36</v>
      </c>
      <c r="F65" s="7">
        <v>34</v>
      </c>
      <c r="G65" s="8">
        <v>15.95</v>
      </c>
      <c r="H65" s="4">
        <f t="shared" si="17"/>
        <v>19.459</v>
      </c>
      <c r="I65" s="5">
        <f t="shared" si="18"/>
        <v>661.6</v>
      </c>
    </row>
    <row r="66" spans="1:9" ht="29.25" hidden="1">
      <c r="A66" s="19"/>
      <c r="B66" s="19">
        <v>87302</v>
      </c>
      <c r="C66" s="19" t="s">
        <v>32</v>
      </c>
      <c r="D66" s="25" t="s">
        <v>91</v>
      </c>
      <c r="E66" s="7" t="s">
        <v>38</v>
      </c>
      <c r="F66" s="7">
        <v>0</v>
      </c>
      <c r="G66" s="8">
        <v>388.83</v>
      </c>
      <c r="H66" s="4">
        <f t="shared" si="17"/>
        <v>474.37259999999998</v>
      </c>
      <c r="I66" s="5">
        <f t="shared" si="18"/>
        <v>0</v>
      </c>
    </row>
    <row r="67" spans="1:9">
      <c r="A67" s="19"/>
      <c r="B67" s="19"/>
      <c r="C67" s="19"/>
      <c r="D67" s="27"/>
      <c r="E67" s="7"/>
      <c r="F67" s="7"/>
      <c r="G67" s="8"/>
      <c r="H67" s="4"/>
      <c r="I67" s="5"/>
    </row>
    <row r="68" spans="1:9">
      <c r="A68" s="33">
        <v>8</v>
      </c>
      <c r="B68" s="33"/>
      <c r="C68" s="33"/>
      <c r="D68" s="34" t="s">
        <v>30</v>
      </c>
      <c r="E68" s="35"/>
      <c r="F68" s="35"/>
      <c r="G68" s="36"/>
      <c r="H68" s="37">
        <f t="shared" si="0"/>
        <v>0</v>
      </c>
      <c r="I68" s="38">
        <f>SUM(I69:I69)</f>
        <v>1073.5999999999999</v>
      </c>
    </row>
    <row r="69" spans="1:9" ht="29.25">
      <c r="A69" s="19"/>
      <c r="B69" s="19"/>
      <c r="C69" s="19" t="s">
        <v>87</v>
      </c>
      <c r="D69" s="25" t="s">
        <v>134</v>
      </c>
      <c r="E69" s="7" t="s">
        <v>51</v>
      </c>
      <c r="F69" s="7">
        <v>4</v>
      </c>
      <c r="G69" s="8">
        <v>220</v>
      </c>
      <c r="H69" s="4">
        <f t="shared" si="0"/>
        <v>268.39999999999998</v>
      </c>
      <c r="I69" s="5">
        <f>TRUNC(H69*F69,2)</f>
        <v>1073.5999999999999</v>
      </c>
    </row>
    <row r="70" spans="1:9">
      <c r="A70" s="19"/>
      <c r="B70" s="19"/>
      <c r="C70" s="19"/>
      <c r="D70" s="26"/>
      <c r="E70" s="7"/>
      <c r="F70" s="7"/>
      <c r="G70" s="8"/>
      <c r="H70" s="4"/>
      <c r="I70" s="5"/>
    </row>
    <row r="71" spans="1:9">
      <c r="A71" s="33">
        <v>9</v>
      </c>
      <c r="B71" s="33"/>
      <c r="C71" s="33"/>
      <c r="D71" s="34" t="s">
        <v>68</v>
      </c>
      <c r="E71" s="35"/>
      <c r="F71" s="35"/>
      <c r="G71" s="36"/>
      <c r="H71" s="37"/>
      <c r="I71" s="38">
        <f>SUM(I72)</f>
        <v>1732.26</v>
      </c>
    </row>
    <row r="72" spans="1:9" ht="43.5">
      <c r="A72" s="19"/>
      <c r="B72" s="19">
        <v>43684</v>
      </c>
      <c r="C72" s="19" t="s">
        <v>33</v>
      </c>
      <c r="D72" s="25" t="s">
        <v>69</v>
      </c>
      <c r="E72" s="7" t="s">
        <v>51</v>
      </c>
      <c r="F72" s="7">
        <v>1</v>
      </c>
      <c r="G72" s="8">
        <f>1815.19/1.2784</f>
        <v>1419.8920525657072</v>
      </c>
      <c r="H72" s="10">
        <f t="shared" ref="H72" si="19">G72*(1+$I$2)</f>
        <v>1732.2683041301627</v>
      </c>
      <c r="I72" s="8">
        <f>TRUNC(H72*F72,2)</f>
        <v>1732.26</v>
      </c>
    </row>
    <row r="73" spans="1:9" hidden="1">
      <c r="A73" s="33"/>
      <c r="B73" s="33"/>
      <c r="C73" s="33"/>
      <c r="D73" s="34" t="s">
        <v>70</v>
      </c>
      <c r="E73" s="35"/>
      <c r="F73" s="35"/>
      <c r="G73" s="36"/>
      <c r="H73" s="39"/>
      <c r="I73" s="36">
        <v>0</v>
      </c>
    </row>
    <row r="74" spans="1:9" ht="29.25" hidden="1">
      <c r="A74" s="19"/>
      <c r="B74" s="19"/>
      <c r="C74" s="19"/>
      <c r="D74" s="32" t="s">
        <v>75</v>
      </c>
      <c r="E74" s="7"/>
      <c r="F74" s="7"/>
      <c r="G74" s="8"/>
      <c r="H74" s="10"/>
      <c r="I74" s="8"/>
    </row>
    <row r="75" spans="1:9" hidden="1">
      <c r="A75" s="19"/>
      <c r="B75" s="19">
        <v>94971</v>
      </c>
      <c r="C75" s="19" t="s">
        <v>32</v>
      </c>
      <c r="D75" s="32" t="s">
        <v>71</v>
      </c>
      <c r="E75" s="7" t="s">
        <v>38</v>
      </c>
      <c r="F75" s="7">
        <f>15*1.5*0.2</f>
        <v>4.5</v>
      </c>
      <c r="G75" s="8">
        <v>327.11</v>
      </c>
      <c r="H75" s="10">
        <f t="shared" ref="H75" si="20">G75*(1+$I$2)</f>
        <v>399.07420000000002</v>
      </c>
      <c r="I75" s="8">
        <f t="shared" ref="I75" si="21">H75*F75</f>
        <v>1795.8339000000001</v>
      </c>
    </row>
    <row r="76" spans="1:9" ht="29.25" hidden="1">
      <c r="A76" s="19"/>
      <c r="B76" s="19">
        <v>92762</v>
      </c>
      <c r="C76" s="19" t="s">
        <v>32</v>
      </c>
      <c r="D76" s="32" t="s">
        <v>73</v>
      </c>
      <c r="E76" s="7" t="s">
        <v>72</v>
      </c>
      <c r="F76" s="7">
        <f>22*14.8 + 3.15*14.8/0.15+8*7.76+8*4*2</f>
        <v>762.48000000000013</v>
      </c>
      <c r="G76" s="8">
        <v>8.0399999999999991</v>
      </c>
      <c r="H76" s="10">
        <f t="shared" ref="H76" si="22">G76*(1+$I$2)</f>
        <v>9.808799999999998</v>
      </c>
      <c r="I76" s="8">
        <f t="shared" ref="I76" si="23">H76*F76</f>
        <v>7479.0138239999997</v>
      </c>
    </row>
    <row r="77" spans="1:9" hidden="1">
      <c r="A77" s="19"/>
      <c r="B77" s="19">
        <v>5651</v>
      </c>
      <c r="C77" s="19" t="s">
        <v>32</v>
      </c>
      <c r="D77" s="26" t="s">
        <v>74</v>
      </c>
      <c r="E77" s="7" t="s">
        <v>36</v>
      </c>
      <c r="F77" s="7">
        <f>15*1.5*2</f>
        <v>45</v>
      </c>
      <c r="G77" s="8">
        <v>34.15</v>
      </c>
      <c r="H77" s="10">
        <f t="shared" ref="H77" si="24">G77*(1+$I$2)</f>
        <v>41.662999999999997</v>
      </c>
      <c r="I77" s="8">
        <f t="shared" ref="I77" si="25">H77*F77</f>
        <v>1874.8349999999998</v>
      </c>
    </row>
    <row r="78" spans="1:9" hidden="1">
      <c r="A78" s="19"/>
      <c r="B78" s="19" t="s">
        <v>62</v>
      </c>
      <c r="C78" s="19" t="s">
        <v>32</v>
      </c>
      <c r="D78" s="26" t="s">
        <v>76</v>
      </c>
      <c r="E78" s="7" t="s">
        <v>44</v>
      </c>
      <c r="F78" s="7">
        <f>8*2*4</f>
        <v>64</v>
      </c>
      <c r="G78" s="8">
        <v>47.01</v>
      </c>
      <c r="H78" s="10">
        <f t="shared" ref="H78:H80" si="26">G78*(1+$I$2)</f>
        <v>57.352199999999996</v>
      </c>
      <c r="I78" s="8">
        <f>H78*F78</f>
        <v>3670.5407999999998</v>
      </c>
    </row>
    <row r="79" spans="1:9" ht="29.25" hidden="1">
      <c r="A79" s="19"/>
      <c r="B79" s="19">
        <v>367</v>
      </c>
      <c r="C79" s="19" t="s">
        <v>32</v>
      </c>
      <c r="D79" s="25" t="s">
        <v>77</v>
      </c>
      <c r="E79" s="7" t="s">
        <v>38</v>
      </c>
      <c r="F79" s="7">
        <v>2</v>
      </c>
      <c r="G79" s="8">
        <v>76</v>
      </c>
      <c r="H79" s="10">
        <f t="shared" si="26"/>
        <v>92.72</v>
      </c>
      <c r="I79" s="8">
        <f>H79*F79</f>
        <v>185.44</v>
      </c>
    </row>
    <row r="80" spans="1:9" ht="29.25" hidden="1">
      <c r="A80" s="19"/>
      <c r="B80" s="19">
        <v>55835</v>
      </c>
      <c r="C80" s="19" t="s">
        <v>32</v>
      </c>
      <c r="D80" s="25" t="s">
        <v>78</v>
      </c>
      <c r="E80" s="7" t="s">
        <v>38</v>
      </c>
      <c r="F80" s="7">
        <f>14.8*1.5/2</f>
        <v>11.100000000000001</v>
      </c>
      <c r="G80" s="8">
        <v>55.09</v>
      </c>
      <c r="H80" s="4">
        <f t="shared" si="26"/>
        <v>67.209800000000001</v>
      </c>
      <c r="I80" s="8">
        <f>H80*F80</f>
        <v>746.0287800000001</v>
      </c>
    </row>
    <row r="81" spans="1:9" hidden="1">
      <c r="A81" s="19"/>
      <c r="B81" s="19">
        <v>4721</v>
      </c>
      <c r="C81" s="19" t="s">
        <v>32</v>
      </c>
      <c r="D81" s="25" t="s">
        <v>80</v>
      </c>
      <c r="E81" s="7" t="s">
        <v>38</v>
      </c>
      <c r="F81" s="7">
        <v>2</v>
      </c>
      <c r="G81" s="8">
        <v>57.5</v>
      </c>
      <c r="H81" s="4">
        <f t="shared" ref="H81:H83" si="27">G81*(1+$I$2)</f>
        <v>70.149999999999991</v>
      </c>
      <c r="I81" s="8">
        <f t="shared" ref="I81:I83" si="28">H81*F81</f>
        <v>140.29999999999998</v>
      </c>
    </row>
    <row r="82" spans="1:9" hidden="1">
      <c r="A82" s="19"/>
      <c r="B82" s="19">
        <v>87347</v>
      </c>
      <c r="C82" s="19" t="s">
        <v>32</v>
      </c>
      <c r="D82" s="26" t="s">
        <v>79</v>
      </c>
      <c r="E82" s="7" t="s">
        <v>38</v>
      </c>
      <c r="F82" s="7">
        <f>1.5*14.8*0.05</f>
        <v>1.1100000000000001</v>
      </c>
      <c r="G82" s="8">
        <v>349.71</v>
      </c>
      <c r="H82" s="4">
        <f t="shared" si="27"/>
        <v>426.64619999999996</v>
      </c>
      <c r="I82" s="8">
        <f t="shared" si="28"/>
        <v>473.57728200000003</v>
      </c>
    </row>
    <row r="83" spans="1:9" hidden="1">
      <c r="A83" s="19"/>
      <c r="B83" s="19">
        <v>84862</v>
      </c>
      <c r="C83" s="19" t="s">
        <v>32</v>
      </c>
      <c r="D83" s="26" t="s">
        <v>81</v>
      </c>
      <c r="E83" s="7" t="s">
        <v>44</v>
      </c>
      <c r="F83" s="7">
        <v>16.8</v>
      </c>
      <c r="G83" s="8">
        <v>200</v>
      </c>
      <c r="H83" s="4">
        <f t="shared" si="27"/>
        <v>244</v>
      </c>
      <c r="I83" s="8">
        <f t="shared" si="28"/>
        <v>4099.2</v>
      </c>
    </row>
    <row r="84" spans="1:9">
      <c r="A84" s="19"/>
      <c r="B84" s="19"/>
      <c r="C84" s="19"/>
      <c r="D84" s="26"/>
      <c r="E84" s="7"/>
      <c r="F84" s="7"/>
      <c r="G84" s="8"/>
      <c r="H84" s="4"/>
      <c r="I84" s="8"/>
    </row>
    <row r="85" spans="1:9">
      <c r="A85" s="33">
        <v>10</v>
      </c>
      <c r="B85" s="33"/>
      <c r="C85" s="33"/>
      <c r="D85" s="34" t="s">
        <v>26</v>
      </c>
      <c r="E85" s="35"/>
      <c r="F85" s="35"/>
      <c r="G85" s="36"/>
      <c r="H85" s="37"/>
      <c r="I85" s="38">
        <f>SUM(I86:I97)</f>
        <v>6231.0599999999995</v>
      </c>
    </row>
    <row r="86" spans="1:9">
      <c r="A86" s="19"/>
      <c r="B86" s="19">
        <v>93358</v>
      </c>
      <c r="C86" s="19" t="s">
        <v>32</v>
      </c>
      <c r="D86" s="25" t="s">
        <v>27</v>
      </c>
      <c r="E86" s="7" t="s">
        <v>38</v>
      </c>
      <c r="F86" s="7">
        <f>(35*3)*0.3*0.1</f>
        <v>3.1500000000000004</v>
      </c>
      <c r="G86" s="8">
        <v>62.26</v>
      </c>
      <c r="H86" s="4">
        <f t="shared" si="0"/>
        <v>75.9572</v>
      </c>
      <c r="I86" s="5">
        <f t="shared" ref="I86:I93" si="29">TRUNC(H86*F86,2)</f>
        <v>239.26</v>
      </c>
    </row>
    <row r="87" spans="1:9" ht="29.25">
      <c r="A87" s="19"/>
      <c r="B87" s="19" t="s">
        <v>61</v>
      </c>
      <c r="C87" s="19" t="s">
        <v>32</v>
      </c>
      <c r="D87" s="25" t="s">
        <v>28</v>
      </c>
      <c r="E87" s="7" t="s">
        <v>36</v>
      </c>
      <c r="F87" s="7">
        <f>35*3*0.4</f>
        <v>42</v>
      </c>
      <c r="G87" s="8">
        <v>8.82</v>
      </c>
      <c r="H87" s="4">
        <f t="shared" si="0"/>
        <v>10.760400000000001</v>
      </c>
      <c r="I87" s="5">
        <f t="shared" si="29"/>
        <v>451.93</v>
      </c>
    </row>
    <row r="88" spans="1:9">
      <c r="A88" s="19"/>
      <c r="B88" s="19">
        <v>94213</v>
      </c>
      <c r="C88" s="19" t="s">
        <v>32</v>
      </c>
      <c r="D88" s="26" t="s">
        <v>85</v>
      </c>
      <c r="E88" s="7" t="s">
        <v>36</v>
      </c>
      <c r="F88" s="7">
        <v>4</v>
      </c>
      <c r="G88" s="8">
        <v>38.61</v>
      </c>
      <c r="H88" s="4">
        <f t="shared" si="0"/>
        <v>47.104199999999999</v>
      </c>
      <c r="I88" s="5">
        <f t="shared" si="29"/>
        <v>188.41</v>
      </c>
    </row>
    <row r="89" spans="1:9">
      <c r="A89" s="19"/>
      <c r="B89" s="19">
        <v>94227</v>
      </c>
      <c r="C89" s="19" t="s">
        <v>32</v>
      </c>
      <c r="D89" s="26" t="s">
        <v>86</v>
      </c>
      <c r="E89" s="7" t="s">
        <v>44</v>
      </c>
      <c r="F89" s="7">
        <v>2</v>
      </c>
      <c r="G89" s="8">
        <v>31.81</v>
      </c>
      <c r="H89" s="4">
        <f t="shared" si="0"/>
        <v>38.808199999999999</v>
      </c>
      <c r="I89" s="5">
        <f t="shared" si="29"/>
        <v>77.61</v>
      </c>
    </row>
    <row r="90" spans="1:9">
      <c r="A90" s="19"/>
      <c r="B90" s="19">
        <v>43700</v>
      </c>
      <c r="C90" s="19" t="s">
        <v>33</v>
      </c>
      <c r="D90" s="26" t="s">
        <v>125</v>
      </c>
      <c r="E90" s="7" t="s">
        <v>51</v>
      </c>
      <c r="F90" s="7">
        <v>10</v>
      </c>
      <c r="G90" s="8">
        <v>67.459999999999994</v>
      </c>
      <c r="H90" s="4">
        <f t="shared" ref="H90" si="30">G90*(1+$I$2)</f>
        <v>82.301199999999994</v>
      </c>
      <c r="I90" s="5">
        <f t="shared" si="29"/>
        <v>823.01</v>
      </c>
    </row>
    <row r="91" spans="1:9" ht="29.25">
      <c r="A91" s="19"/>
      <c r="B91" s="19">
        <v>87302</v>
      </c>
      <c r="C91" s="19" t="s">
        <v>32</v>
      </c>
      <c r="D91" s="13" t="s">
        <v>90</v>
      </c>
      <c r="E91" s="7" t="s">
        <v>38</v>
      </c>
      <c r="F91" s="7">
        <v>0.3</v>
      </c>
      <c r="G91" s="8">
        <v>388.83</v>
      </c>
      <c r="H91" s="4">
        <f t="shared" ref="H91" si="31">G91*(1+$I$2)</f>
        <v>474.37259999999998</v>
      </c>
      <c r="I91" s="5">
        <f t="shared" si="29"/>
        <v>142.31</v>
      </c>
    </row>
    <row r="92" spans="1:9" ht="29.25">
      <c r="A92" s="19"/>
      <c r="B92" s="19">
        <v>4790</v>
      </c>
      <c r="C92" s="19" t="s">
        <v>32</v>
      </c>
      <c r="D92" s="13" t="s">
        <v>135</v>
      </c>
      <c r="E92" s="7" t="s">
        <v>36</v>
      </c>
      <c r="F92" s="7">
        <v>17</v>
      </c>
      <c r="G92" s="8">
        <v>32.75</v>
      </c>
      <c r="H92" s="4">
        <f t="shared" ref="H92:H97" si="32">G92*(1+$I$2)</f>
        <v>39.954999999999998</v>
      </c>
      <c r="I92" s="5">
        <f t="shared" si="29"/>
        <v>679.23</v>
      </c>
    </row>
    <row r="93" spans="1:9">
      <c r="A93" s="19"/>
      <c r="B93" s="19">
        <v>518</v>
      </c>
      <c r="C93" s="19" t="s">
        <v>32</v>
      </c>
      <c r="D93" s="13" t="s">
        <v>118</v>
      </c>
      <c r="E93" s="7" t="s">
        <v>36</v>
      </c>
      <c r="F93" s="7">
        <f>F92</f>
        <v>17</v>
      </c>
      <c r="G93" s="8">
        <v>6</v>
      </c>
      <c r="H93" s="4">
        <f t="shared" si="32"/>
        <v>7.32</v>
      </c>
      <c r="I93" s="5">
        <f t="shared" si="29"/>
        <v>124.44</v>
      </c>
    </row>
    <row r="94" spans="1:9" ht="43.5">
      <c r="A94" s="19"/>
      <c r="B94" s="19">
        <v>91864</v>
      </c>
      <c r="C94" s="19" t="s">
        <v>32</v>
      </c>
      <c r="D94" s="13" t="s">
        <v>119</v>
      </c>
      <c r="E94" s="7" t="s">
        <v>44</v>
      </c>
      <c r="F94" s="7">
        <f>126+14</f>
        <v>140</v>
      </c>
      <c r="G94" s="8">
        <v>10.94</v>
      </c>
      <c r="H94" s="4">
        <f t="shared" si="32"/>
        <v>13.346799999999998</v>
      </c>
      <c r="I94" s="5">
        <f t="shared" ref="I94:I97" si="33">TRUNC(H94*F94,2)</f>
        <v>1868.55</v>
      </c>
    </row>
    <row r="95" spans="1:9">
      <c r="A95" s="19"/>
      <c r="B95" s="19">
        <v>39346</v>
      </c>
      <c r="C95" s="19" t="s">
        <v>32</v>
      </c>
      <c r="D95" s="13" t="s">
        <v>120</v>
      </c>
      <c r="E95" s="7" t="s">
        <v>51</v>
      </c>
      <c r="F95" s="7">
        <v>8</v>
      </c>
      <c r="G95" s="8">
        <v>2.04</v>
      </c>
      <c r="H95" s="4">
        <f t="shared" si="32"/>
        <v>2.4887999999999999</v>
      </c>
      <c r="I95" s="5">
        <f t="shared" si="33"/>
        <v>19.91</v>
      </c>
    </row>
    <row r="96" spans="1:9">
      <c r="A96" s="19"/>
      <c r="B96" s="19"/>
      <c r="C96" s="19" t="s">
        <v>116</v>
      </c>
      <c r="D96" s="13" t="s">
        <v>115</v>
      </c>
      <c r="E96" s="7" t="s">
        <v>51</v>
      </c>
      <c r="F96" s="7">
        <v>1</v>
      </c>
      <c r="G96" s="8">
        <v>1300</v>
      </c>
      <c r="H96" s="4">
        <f t="shared" si="32"/>
        <v>1586</v>
      </c>
      <c r="I96" s="5">
        <f t="shared" si="33"/>
        <v>1586</v>
      </c>
    </row>
    <row r="97" spans="1:11">
      <c r="A97" s="19"/>
      <c r="B97" s="19">
        <v>94968</v>
      </c>
      <c r="C97" s="19" t="s">
        <v>32</v>
      </c>
      <c r="D97" s="13" t="s">
        <v>117</v>
      </c>
      <c r="E97" s="7" t="s">
        <v>38</v>
      </c>
      <c r="F97" s="7">
        <f>2*0.05</f>
        <v>0.1</v>
      </c>
      <c r="G97" s="8">
        <v>249.21</v>
      </c>
      <c r="H97" s="4">
        <f t="shared" si="32"/>
        <v>304.03620000000001</v>
      </c>
      <c r="I97" s="5">
        <f t="shared" si="33"/>
        <v>30.4</v>
      </c>
    </row>
    <row r="98" spans="1:11" ht="19.5" customHeight="1">
      <c r="A98" s="19"/>
      <c r="B98" s="19"/>
      <c r="C98" s="19"/>
      <c r="D98" s="16" t="s">
        <v>84</v>
      </c>
      <c r="E98" s="16"/>
      <c r="F98" s="58"/>
      <c r="G98" s="58"/>
      <c r="H98" s="16"/>
      <c r="I98" s="17">
        <f>TRUNC(I4+I10+I17+I31+I36+I40+I52+I57+I68+I71+I85,2)</f>
        <v>99409.600000000006</v>
      </c>
      <c r="K98" s="15"/>
    </row>
    <row r="101" spans="1:11">
      <c r="D101" s="47"/>
    </row>
  </sheetData>
  <mergeCells count="2">
    <mergeCell ref="D1:I1"/>
    <mergeCell ref="A2:G2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51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9"/>
  <sheetViews>
    <sheetView zoomScale="70" zoomScaleNormal="70" workbookViewId="0">
      <selection activeCell="M12" sqref="M12"/>
    </sheetView>
  </sheetViews>
  <sheetFormatPr defaultRowHeight="15"/>
  <cols>
    <col min="2" max="2" width="46.85546875" customWidth="1"/>
    <col min="3" max="3" width="17.140625" customWidth="1"/>
    <col min="4" max="4" width="15.7109375" customWidth="1"/>
    <col min="5" max="5" width="16.5703125" customWidth="1"/>
    <col min="6" max="10" width="17.42578125" customWidth="1"/>
    <col min="11" max="11" width="17.7109375" customWidth="1"/>
  </cols>
  <sheetData>
    <row r="1" spans="1:11" ht="126.75" customHeight="1">
      <c r="A1" s="64"/>
      <c r="B1" s="64"/>
      <c r="C1" s="64"/>
      <c r="D1" s="64"/>
      <c r="E1" s="64"/>
      <c r="F1" s="64"/>
      <c r="G1" s="64"/>
      <c r="H1" s="64"/>
      <c r="I1" s="64"/>
      <c r="J1" s="64"/>
      <c r="K1" s="65"/>
    </row>
    <row r="2" spans="1:11" ht="30.75" customHeight="1">
      <c r="A2" s="61" t="s">
        <v>9</v>
      </c>
      <c r="B2" s="62"/>
      <c r="C2" s="62"/>
      <c r="D2" s="62"/>
      <c r="E2" s="62"/>
      <c r="F2" s="62"/>
      <c r="G2" s="62"/>
      <c r="H2" s="62"/>
      <c r="I2" s="62"/>
      <c r="J2" s="62"/>
      <c r="K2" s="63"/>
    </row>
    <row r="3" spans="1:11" ht="30.75" customHeight="1">
      <c r="A3" s="2" t="s">
        <v>10</v>
      </c>
      <c r="B3" s="2" t="s">
        <v>0</v>
      </c>
      <c r="C3" s="2" t="s">
        <v>92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95</v>
      </c>
      <c r="I3" s="2" t="s">
        <v>96</v>
      </c>
      <c r="J3" s="2" t="s">
        <v>97</v>
      </c>
      <c r="K3" s="2" t="s">
        <v>98</v>
      </c>
    </row>
    <row r="4" spans="1:11" ht="15" customHeight="1">
      <c r="A4" s="3">
        <v>1</v>
      </c>
      <c r="B4" s="18" t="str">
        <f>orçamento!D4</f>
        <v>Serviços Preliminares</v>
      </c>
      <c r="C4" s="48">
        <f>orçamento!I4</f>
        <v>3902.26</v>
      </c>
      <c r="D4" s="52">
        <v>1</v>
      </c>
      <c r="E4" s="52"/>
      <c r="F4" s="52"/>
      <c r="G4" s="52"/>
      <c r="H4" s="52"/>
      <c r="I4" s="52"/>
      <c r="J4" s="52"/>
      <c r="K4" s="53"/>
    </row>
    <row r="5" spans="1:11" s="1" customFormat="1" ht="15" customHeight="1">
      <c r="A5" s="6">
        <v>2</v>
      </c>
      <c r="B5" s="11" t="str">
        <f>orçamento!D10</f>
        <v>Demolição</v>
      </c>
      <c r="C5" s="49">
        <f>orçamento!I10</f>
        <v>2021.55</v>
      </c>
      <c r="D5" s="53">
        <v>0.5</v>
      </c>
      <c r="E5" s="54">
        <v>0.5</v>
      </c>
      <c r="F5" s="54"/>
      <c r="G5" s="54"/>
      <c r="H5" s="54"/>
      <c r="I5" s="54"/>
      <c r="J5" s="54"/>
      <c r="K5" s="54"/>
    </row>
    <row r="6" spans="1:11" ht="15" customHeight="1">
      <c r="A6" s="3">
        <v>3</v>
      </c>
      <c r="B6" s="18" t="str">
        <f>orçamento!D17</f>
        <v>Recuperação e Instalação das estruturas metálicas</v>
      </c>
      <c r="C6" s="48">
        <f>orçamento!I17</f>
        <v>24830.100000000002</v>
      </c>
      <c r="D6" s="52"/>
      <c r="E6" s="55">
        <v>0.25</v>
      </c>
      <c r="F6" s="55">
        <v>0.75</v>
      </c>
      <c r="G6" s="55"/>
      <c r="H6" s="55"/>
      <c r="I6" s="55"/>
      <c r="J6" s="55"/>
      <c r="K6" s="55"/>
    </row>
    <row r="7" spans="1:11">
      <c r="A7" s="7">
        <v>4</v>
      </c>
      <c r="B7" s="12" t="str">
        <f>orçamento!D31</f>
        <v>Saídas de Emergência</v>
      </c>
      <c r="C7" s="50">
        <f>orçamento!I31</f>
        <v>8992.6200000000008</v>
      </c>
      <c r="D7" s="54"/>
      <c r="E7" s="54"/>
      <c r="F7" s="54"/>
      <c r="G7" s="54"/>
      <c r="H7" s="54"/>
      <c r="I7" s="54">
        <v>1</v>
      </c>
      <c r="J7" s="54"/>
      <c r="K7" s="54"/>
    </row>
    <row r="8" spans="1:11">
      <c r="A8" s="7">
        <v>5</v>
      </c>
      <c r="B8" s="12" t="str">
        <f>orçamento!D36</f>
        <v>Restauração da quadra de madeira</v>
      </c>
      <c r="C8" s="50">
        <f>orçamento!I36</f>
        <v>10317.68</v>
      </c>
      <c r="D8" s="54"/>
      <c r="E8" s="54"/>
      <c r="F8" s="54">
        <v>1</v>
      </c>
      <c r="G8" s="54"/>
      <c r="H8" s="54"/>
      <c r="I8" s="54"/>
      <c r="J8" s="54"/>
      <c r="K8" s="54"/>
    </row>
    <row r="9" spans="1:11">
      <c r="A9" s="7">
        <v>6</v>
      </c>
      <c r="B9" s="12" t="str">
        <f>orçamento!D40</f>
        <v>Reforma dos banheiros / vestiários</v>
      </c>
      <c r="C9" s="50">
        <f>orçamento!I40</f>
        <v>14514.630000000001</v>
      </c>
      <c r="D9" s="54"/>
      <c r="E9" s="54"/>
      <c r="F9" s="54"/>
      <c r="G9" s="54"/>
      <c r="H9" s="54">
        <v>0.5</v>
      </c>
      <c r="I9" s="54">
        <v>0.5</v>
      </c>
      <c r="J9" s="54"/>
      <c r="K9" s="54"/>
    </row>
    <row r="10" spans="1:11">
      <c r="A10" s="7">
        <v>7</v>
      </c>
      <c r="B10" s="12" t="str">
        <f>orçamento!D52</f>
        <v>Pintura</v>
      </c>
      <c r="C10" s="50">
        <f>orçamento!I52</f>
        <v>21898.94</v>
      </c>
      <c r="D10" s="54"/>
      <c r="E10" s="54">
        <v>0.2</v>
      </c>
      <c r="F10" s="54"/>
      <c r="G10" s="54"/>
      <c r="H10" s="54"/>
      <c r="I10" s="54"/>
      <c r="J10" s="54">
        <v>0.55000000000000004</v>
      </c>
      <c r="K10" s="54">
        <v>0.25</v>
      </c>
    </row>
    <row r="11" spans="1:11">
      <c r="A11" s="7">
        <v>8</v>
      </c>
      <c r="B11" s="12" t="str">
        <f>orçamento!D57</f>
        <v>Alvenaria e tampos de concreto</v>
      </c>
      <c r="C11" s="50">
        <f>orçamento!I57</f>
        <v>3894.9</v>
      </c>
      <c r="D11" s="54"/>
      <c r="E11" s="54"/>
      <c r="F11" s="54"/>
      <c r="G11" s="54">
        <v>1</v>
      </c>
      <c r="H11" s="54"/>
      <c r="I11" s="54"/>
      <c r="J11" s="54"/>
      <c r="K11" s="54"/>
    </row>
    <row r="12" spans="1:11">
      <c r="A12" s="7">
        <v>9</v>
      </c>
      <c r="B12" s="12" t="str">
        <f>orçamento!D68</f>
        <v>Praça</v>
      </c>
      <c r="C12" s="50">
        <f>orçamento!I68</f>
        <v>1073.5999999999999</v>
      </c>
      <c r="D12" s="54"/>
      <c r="E12" s="54"/>
      <c r="F12" s="54"/>
      <c r="G12" s="54"/>
      <c r="H12" s="54"/>
      <c r="I12" s="54"/>
      <c r="J12" s="54"/>
      <c r="K12" s="54">
        <v>1</v>
      </c>
    </row>
    <row r="13" spans="1:11">
      <c r="A13" s="7">
        <v>10</v>
      </c>
      <c r="B13" s="12" t="str">
        <f>orçamento!D71</f>
        <v>Abrigo para Gás</v>
      </c>
      <c r="C13" s="50">
        <f>orçamento!I71</f>
        <v>1732.26</v>
      </c>
      <c r="D13" s="54"/>
      <c r="E13" s="54"/>
      <c r="F13" s="54"/>
      <c r="G13" s="54">
        <v>1</v>
      </c>
      <c r="H13" s="54"/>
      <c r="I13" s="54"/>
      <c r="J13" s="54"/>
      <c r="K13" s="54"/>
    </row>
    <row r="14" spans="1:11">
      <c r="A14" s="7">
        <v>11</v>
      </c>
      <c r="B14" s="12" t="str">
        <f>orçamento!D85</f>
        <v>Serviços Complementares</v>
      </c>
      <c r="C14" s="50">
        <f>orçamento!I85</f>
        <v>6231.0599999999995</v>
      </c>
      <c r="D14" s="54"/>
      <c r="E14" s="54"/>
      <c r="F14" s="54">
        <v>0.65</v>
      </c>
      <c r="G14" s="54">
        <v>0.15</v>
      </c>
      <c r="H14" s="54">
        <v>0.15</v>
      </c>
      <c r="I14" s="54"/>
      <c r="J14" s="54"/>
      <c r="K14" s="54">
        <v>0.05</v>
      </c>
    </row>
    <row r="15" spans="1:11" ht="15.75">
      <c r="A15" s="7"/>
      <c r="B15" s="51" t="s">
        <v>93</v>
      </c>
      <c r="C15" s="21">
        <f>TRUNC(SUM(C4:C14),2)</f>
        <v>99409.600000000006</v>
      </c>
      <c r="D15" s="59">
        <f t="shared" ref="D15:K15" si="0">TRUNC(SUMPRODUCT(D$4:D$14*$C$4:$C$14),2)</f>
        <v>4913.03</v>
      </c>
      <c r="E15" s="59">
        <f t="shared" si="0"/>
        <v>11598.08</v>
      </c>
      <c r="F15" s="59">
        <f t="shared" si="0"/>
        <v>32990.44</v>
      </c>
      <c r="G15" s="59">
        <f t="shared" si="0"/>
        <v>6561.81</v>
      </c>
      <c r="H15" s="59">
        <f t="shared" si="0"/>
        <v>8191.97</v>
      </c>
      <c r="I15" s="59">
        <f t="shared" si="0"/>
        <v>16249.93</v>
      </c>
      <c r="J15" s="59">
        <f t="shared" si="0"/>
        <v>12044.41</v>
      </c>
      <c r="K15" s="59">
        <f t="shared" si="0"/>
        <v>6859.88</v>
      </c>
    </row>
    <row r="16" spans="1:11" ht="19.5" customHeight="1">
      <c r="A16" s="16"/>
      <c r="B16" s="16" t="s">
        <v>94</v>
      </c>
      <c r="C16" s="56">
        <f>SUM(C4:C14)</f>
        <v>99409.600000000006</v>
      </c>
      <c r="D16" s="21">
        <f>D15</f>
        <v>4913.03</v>
      </c>
      <c r="E16" s="21">
        <f>TRUNC(D16+E15,2)</f>
        <v>16511.11</v>
      </c>
      <c r="F16" s="21">
        <f t="shared" ref="F16:K16" si="1">TRUNC(E16+F15,2)</f>
        <v>49501.55</v>
      </c>
      <c r="G16" s="21">
        <f t="shared" si="1"/>
        <v>56063.360000000001</v>
      </c>
      <c r="H16" s="21">
        <f t="shared" si="1"/>
        <v>64255.33</v>
      </c>
      <c r="I16" s="21">
        <f t="shared" si="1"/>
        <v>80505.259999999995</v>
      </c>
      <c r="J16" s="21">
        <f t="shared" si="1"/>
        <v>92549.67</v>
      </c>
      <c r="K16" s="21">
        <f t="shared" si="1"/>
        <v>99409.55</v>
      </c>
    </row>
    <row r="18" spans="4:11">
      <c r="D18" s="57"/>
      <c r="E18" s="57"/>
      <c r="F18" s="57"/>
      <c r="G18" s="57"/>
      <c r="H18" s="57"/>
      <c r="I18" s="57"/>
      <c r="J18" s="57"/>
      <c r="K18" s="57"/>
    </row>
    <row r="19" spans="4:11">
      <c r="K19" s="15"/>
    </row>
  </sheetData>
  <mergeCells count="2">
    <mergeCell ref="A2:K2"/>
    <mergeCell ref="A1:K1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6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4</vt:i4>
      </vt:variant>
      <vt:variant>
        <vt:lpstr>Gráficos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orçamento</vt:lpstr>
      <vt:lpstr>cronograma</vt:lpstr>
      <vt:lpstr>Plan2</vt:lpstr>
      <vt:lpstr>Plan3</vt:lpstr>
      <vt:lpstr>Gráf1</vt:lpstr>
      <vt:lpstr>cronograma!Area_de_impressao</vt:lpstr>
      <vt:lpstr>orçamento!Area_de_impressao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Prefeitura</dc:creator>
  <cp:lastModifiedBy>Prefeitura</cp:lastModifiedBy>
  <cp:lastPrinted>2017-10-10T17:27:50Z</cp:lastPrinted>
  <dcterms:created xsi:type="dcterms:W3CDTF">2014-09-18T17:11:12Z</dcterms:created>
  <dcterms:modified xsi:type="dcterms:W3CDTF">2017-10-23T18:12:39Z</dcterms:modified>
</cp:coreProperties>
</file>