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65" yWindow="390" windowWidth="19440" windowHeight="9975"/>
  </bookViews>
  <sheets>
    <sheet name="cronograma 2" sheetId="3" r:id="rId1"/>
    <sheet name="Plan2" sheetId="2" r:id="rId2"/>
    <sheet name="orçamento FEITO" sheetId="5" r:id="rId3"/>
  </sheets>
  <definedNames>
    <definedName name="_xlnm.Print_Area" localSheetId="0">'cronograma 2'!$A$1:$H$10</definedName>
    <definedName name="_xlnm.Print_Area" localSheetId="2">'orçamento FEITO'!$A$1:$G$108</definedName>
  </definedNames>
  <calcPr calcId="124519"/>
</workbook>
</file>

<file path=xl/calcChain.xml><?xml version="1.0" encoding="utf-8"?>
<calcChain xmlns="http://schemas.openxmlformats.org/spreadsheetml/2006/main">
  <c r="C8" i="3"/>
  <c r="C7"/>
  <c r="C6"/>
  <c r="E9" s="1"/>
  <c r="C5"/>
  <c r="C4"/>
  <c r="G9" s="1"/>
  <c r="B8"/>
  <c r="B7"/>
  <c r="B6"/>
  <c r="B5"/>
  <c r="B4"/>
  <c r="G107" i="5"/>
  <c r="G68"/>
  <c r="F72"/>
  <c r="G72"/>
  <c r="E71"/>
  <c r="F71"/>
  <c r="G71" s="1"/>
  <c r="G70"/>
  <c r="G73" s="1"/>
  <c r="F70"/>
  <c r="D70"/>
  <c r="F19"/>
  <c r="G19" s="1"/>
  <c r="J57"/>
  <c r="F18"/>
  <c r="G18" s="1"/>
  <c r="D18"/>
  <c r="F17"/>
  <c r="G17" s="1"/>
  <c r="F16"/>
  <c r="D16"/>
  <c r="F106"/>
  <c r="F105"/>
  <c r="F104"/>
  <c r="G104" s="1"/>
  <c r="F103"/>
  <c r="G103" s="1"/>
  <c r="F102"/>
  <c r="G102" s="1"/>
  <c r="F101"/>
  <c r="G101" s="1"/>
  <c r="F100"/>
  <c r="G100" s="1"/>
  <c r="F99"/>
  <c r="G99" s="1"/>
  <c r="F98"/>
  <c r="G98" s="1"/>
  <c r="F97"/>
  <c r="G97" s="1"/>
  <c r="F96"/>
  <c r="G96" s="1"/>
  <c r="F95"/>
  <c r="G95" s="1"/>
  <c r="F94"/>
  <c r="G94" s="1"/>
  <c r="F93"/>
  <c r="G93" s="1"/>
  <c r="F92"/>
  <c r="G92" s="1"/>
  <c r="F91"/>
  <c r="G91" s="1"/>
  <c r="F90"/>
  <c r="G90" s="1"/>
  <c r="F89"/>
  <c r="G89" s="1"/>
  <c r="F88"/>
  <c r="G88" s="1"/>
  <c r="F87"/>
  <c r="G87" s="1"/>
  <c r="E86"/>
  <c r="F86" s="1"/>
  <c r="G86" s="1"/>
  <c r="E85"/>
  <c r="F85" s="1"/>
  <c r="G85" s="1"/>
  <c r="F84"/>
  <c r="G84" s="1"/>
  <c r="F83"/>
  <c r="G83" s="1"/>
  <c r="E82"/>
  <c r="F82" s="1"/>
  <c r="G82" s="1"/>
  <c r="E81"/>
  <c r="F81" s="1"/>
  <c r="G81" s="1"/>
  <c r="F80"/>
  <c r="G80" s="1"/>
  <c r="E80"/>
  <c r="F79"/>
  <c r="G79" s="1"/>
  <c r="L78"/>
  <c r="F78"/>
  <c r="G78" s="1"/>
  <c r="E77"/>
  <c r="F77" s="1"/>
  <c r="G77" s="1"/>
  <c r="F76"/>
  <c r="G76" s="1"/>
  <c r="F75"/>
  <c r="G75" s="1"/>
  <c r="F74"/>
  <c r="G74" s="1"/>
  <c r="F67"/>
  <c r="F65"/>
  <c r="F64"/>
  <c r="G64" s="1"/>
  <c r="F63"/>
  <c r="G63" s="1"/>
  <c r="F62"/>
  <c r="G62" s="1"/>
  <c r="F61"/>
  <c r="F59"/>
  <c r="G59" s="1"/>
  <c r="F58"/>
  <c r="G58" s="1"/>
  <c r="F57"/>
  <c r="G57" s="1"/>
  <c r="G54"/>
  <c r="G53"/>
  <c r="G52"/>
  <c r="G51"/>
  <c r="G50"/>
  <c r="G47"/>
  <c r="G46"/>
  <c r="G45"/>
  <c r="G44"/>
  <c r="G43"/>
  <c r="G40"/>
  <c r="L39"/>
  <c r="G39"/>
  <c r="L38"/>
  <c r="E38"/>
  <c r="G38" s="1"/>
  <c r="G34"/>
  <c r="G23"/>
  <c r="M15"/>
  <c r="M36"/>
  <c r="M37" s="1"/>
  <c r="E37" s="1"/>
  <c r="F13"/>
  <c r="G13" s="1"/>
  <c r="F12"/>
  <c r="G12" s="1"/>
  <c r="F11"/>
  <c r="G11" s="1"/>
  <c r="F10"/>
  <c r="G10" s="1"/>
  <c r="F9"/>
  <c r="G9" s="1"/>
  <c r="F8"/>
  <c r="G8" s="1"/>
  <c r="F7"/>
  <c r="G7" s="1"/>
  <c r="F6"/>
  <c r="G6" s="1"/>
  <c r="D6"/>
  <c r="L1"/>
  <c r="D9" i="3" l="1"/>
  <c r="H9"/>
  <c r="F9"/>
  <c r="G60" i="5"/>
  <c r="G16"/>
  <c r="G20" s="1"/>
  <c r="G65"/>
  <c r="M19"/>
  <c r="E30" s="1"/>
  <c r="G30" s="1"/>
  <c r="G48"/>
  <c r="G67"/>
  <c r="G55"/>
  <c r="I37"/>
  <c r="G37"/>
  <c r="G41" s="1"/>
  <c r="G105"/>
  <c r="G14"/>
  <c r="E22"/>
  <c r="G22" s="1"/>
  <c r="E31"/>
  <c r="G31" s="1"/>
  <c r="E32"/>
  <c r="G32" s="1"/>
  <c r="E28"/>
  <c r="G28" s="1"/>
  <c r="E24"/>
  <c r="G24" s="1"/>
  <c r="E29"/>
  <c r="G29" s="1"/>
  <c r="E33"/>
  <c r="G33" s="1"/>
  <c r="E25"/>
  <c r="G25" s="1"/>
  <c r="G35" l="1"/>
  <c r="G26"/>
  <c r="C9" i="3" l="1"/>
  <c r="D10"/>
  <c r="E10" l="1"/>
  <c r="F10" s="1"/>
  <c r="G10" s="1"/>
  <c r="H10" s="1"/>
</calcChain>
</file>

<file path=xl/sharedStrings.xml><?xml version="1.0" encoding="utf-8"?>
<sst xmlns="http://schemas.openxmlformats.org/spreadsheetml/2006/main" count="236" uniqueCount="158">
  <si>
    <t>Descrição</t>
  </si>
  <si>
    <t>unidade</t>
  </si>
  <si>
    <t>Preço unitário</t>
  </si>
  <si>
    <t>Preço Total</t>
  </si>
  <si>
    <t>m²</t>
  </si>
  <si>
    <t>Quantidade</t>
  </si>
  <si>
    <t>ud</t>
  </si>
  <si>
    <t>TOTAL</t>
  </si>
  <si>
    <t>m</t>
  </si>
  <si>
    <t>5 Fechamento</t>
  </si>
  <si>
    <t>Telha de fibra de vidro ondulada e = 6mm, inclusive mão de obra, vedação de juntas e acessório de fixação</t>
  </si>
  <si>
    <t>Telha de fibrocimento ondulada, e = 6mm, inclusive mão de obra, vedação de juntas e acessórios de fixação</t>
  </si>
  <si>
    <t>Cumeeira para telhado de fibrocimento ondulado e = 6mm, inclusive juntas de vedação e acessórios de fixação</t>
  </si>
  <si>
    <t>Preço unit c/ BDI</t>
  </si>
  <si>
    <t>BDI</t>
  </si>
  <si>
    <t>Codigo</t>
  </si>
  <si>
    <t>Placas pré-fabricadas de concreto</t>
  </si>
  <si>
    <t>mercado</t>
  </si>
  <si>
    <t>1 Colocação de placa e locação da obra</t>
  </si>
  <si>
    <t>Subtotal item 3</t>
  </si>
  <si>
    <t>Subtotal item 2</t>
  </si>
  <si>
    <t>Subtotal item 5</t>
  </si>
  <si>
    <t>Subtotal item 6</t>
  </si>
  <si>
    <t xml:space="preserve">Blocos de concretro para 2 estacas com CT até 25 Tf </t>
  </si>
  <si>
    <t>Estaca escavada de concreto  diâmetro Ø 30 cm, armada (ver detalhe), inclusive escação, material e mão de obra</t>
  </si>
  <si>
    <t>2 Aterro Compactado</t>
  </si>
  <si>
    <t>Vigas Baldrames pré-moldadas para ligação dos blocos L = 5m</t>
  </si>
  <si>
    <t>CUB</t>
  </si>
  <si>
    <t>(seção considerada 0,25 x 0,4 e  L = 4,75m)</t>
  </si>
  <si>
    <t>( seção considerada 0,25 x 0,3 e L = 4,75m)</t>
  </si>
  <si>
    <t>Preço Concreto Armado (m³)</t>
  </si>
  <si>
    <t>Concreto 25 MPA</t>
  </si>
  <si>
    <t>Total p/ m3</t>
  </si>
  <si>
    <t>Forma para escoramento 12 m²/m3</t>
  </si>
  <si>
    <t>73937/3</t>
  </si>
  <si>
    <t>Vigas Baldrames pré-moldadas para ligação dos blocos L = 4,5m</t>
  </si>
  <si>
    <t>composição Concreto (94971); Aço (92762); Forma (5651)</t>
  </si>
  <si>
    <t>94971 + 92762 (60 kg/m3)</t>
  </si>
  <si>
    <t>m3</t>
  </si>
  <si>
    <r>
      <t xml:space="preserve">Cobogó </t>
    </r>
    <r>
      <rPr>
        <b/>
        <sz val="11"/>
        <rFont val="Arial"/>
        <family val="2"/>
      </rPr>
      <t>veneziana</t>
    </r>
    <r>
      <rPr>
        <sz val="11"/>
        <rFont val="Arial"/>
        <family val="2"/>
      </rPr>
      <t xml:space="preserve"> de concreto, inclusive argamassa para assentamento, material e mão de obra</t>
    </r>
  </si>
  <si>
    <t>Vigas pré-moldadas para reforço da estrutura 4,5m</t>
  </si>
  <si>
    <t>Vigas pré-moldadas para reforço da estrutura 5m</t>
  </si>
  <si>
    <t>Vigas pré-moldadas para amarração superior da estrutura 4,5m</t>
  </si>
  <si>
    <t>Vigas pré-moldadas para amarração superior da estrutura 5m</t>
  </si>
  <si>
    <t>Comp. + 79504/3</t>
  </si>
  <si>
    <t>Janela de ferro com basculante 1 x 5, inclusive batente, vidro, acessórios e montagem</t>
  </si>
  <si>
    <t>m2</t>
  </si>
  <si>
    <t>Placas pré fabricadas</t>
  </si>
  <si>
    <t>preço / m3</t>
  </si>
  <si>
    <t>Preço / m2</t>
  </si>
  <si>
    <t>3 Fundações</t>
  </si>
  <si>
    <t>4 Estrutura principal</t>
  </si>
  <si>
    <t>Subtotal item 4</t>
  </si>
  <si>
    <t>Fornecimento e instalação de lona plástica para impermeabilização. Espessura 150 micras</t>
  </si>
  <si>
    <t>Subtotal item 7</t>
  </si>
  <si>
    <t>Laje pré-moldada para 3,5kn/m2 e vãos até 4 m. Inclusive vigotas, armadura negativa, capeamento 3cm em concreto Fck 15 Mpa e lajota para fechamento. Material e execução</t>
  </si>
  <si>
    <t>74141/2</t>
  </si>
  <si>
    <t>Aterro compactado entre as paredes da alvenaria</t>
  </si>
  <si>
    <t>Alvenaria de blocos de concreto estrutural Fbk 14Mpa com argamassa 1:0,5:4,5 e tela de aço soldada entre fiadas.  Incluso também armadura 4 Ø 10 mm e preenchimento com argamassa nos blocos pilares. Material e execução</t>
  </si>
  <si>
    <t>Pintura das paredes com tinta latex acrílica em duas demãos. Material e serviço.</t>
  </si>
  <si>
    <t>7 Cobertura</t>
  </si>
  <si>
    <t>9 Arquibancada</t>
  </si>
  <si>
    <t>Subtotal item 9</t>
  </si>
  <si>
    <t>74209/1</t>
  </si>
  <si>
    <t>C2851</t>
  </si>
  <si>
    <t xml:space="preserve">Instalação provisória de água </t>
  </si>
  <si>
    <t>un</t>
  </si>
  <si>
    <t>73960/1</t>
  </si>
  <si>
    <t xml:space="preserve">Instalação provisória de energia elétrica em baixa tensão </t>
  </si>
  <si>
    <t>C2849</t>
  </si>
  <si>
    <t>Instalações provisórias de esgoto</t>
  </si>
  <si>
    <t>Barracão provisórios c/ banheiro e depósito</t>
  </si>
  <si>
    <t>C2873</t>
  </si>
  <si>
    <t>Locação da Obra com topografia (inclusive escoamento do esgoto)</t>
  </si>
  <si>
    <t>74077/2</t>
  </si>
  <si>
    <t xml:space="preserve">Locação da obra (execução de gabarito) </t>
  </si>
  <si>
    <t>74220/1</t>
  </si>
  <si>
    <t xml:space="preserve"> m2</t>
  </si>
  <si>
    <t xml:space="preserve">Tapume de chapa de madeira compensada, 6mm </t>
  </si>
  <si>
    <t>Placa da obra - padrão fornecido pela prefeitura Municipal</t>
  </si>
  <si>
    <t>Subtotal item 1</t>
  </si>
  <si>
    <t>Calha em chapa de aço galvanizado número 24, desenvolvimento de 50 cm, incluso material e execução.</t>
  </si>
  <si>
    <t>Descida d'água em tubo pvc Ø 100 mm e conexão a tubulação de concreto subterrânea existente.</t>
  </si>
  <si>
    <t>Cronograma Físico - Financeiro</t>
  </si>
  <si>
    <t>74122/1</t>
  </si>
  <si>
    <t>Valores totais</t>
  </si>
  <si>
    <t>Mês 1</t>
  </si>
  <si>
    <t>Mês 2</t>
  </si>
  <si>
    <t>Mês 3</t>
  </si>
  <si>
    <t>Mês 4</t>
  </si>
  <si>
    <t>Mês 5</t>
  </si>
  <si>
    <t>Total  Acumulado</t>
  </si>
  <si>
    <t>Tesouras pré-moldadas para vãos de 23m</t>
  </si>
  <si>
    <t>Pilar pré-moldado H = 7m</t>
  </si>
  <si>
    <t>Terças de concreto c/ esp máximo = 1,3m (18 peças p/ tesoura)</t>
  </si>
  <si>
    <t>6 Saídas de emergência, rampa de acesso e portão</t>
  </si>
  <si>
    <t>Guarda - corpo com corrimão em tubo de aço galvanizado 2" fixados em blocos de concreto a c/ 2m, altura 1,2m, com tela de arame galvanizado revestido com PVC fio 12 BWG e malha 7,5 x 7,5 cm.</t>
  </si>
  <si>
    <t>73787/1</t>
  </si>
  <si>
    <t xml:space="preserve">Demolição de alvenaria no muro de tardós da creche e recomposição dos cantos com massa única.
</t>
  </si>
  <si>
    <t>42528 - Deinfra</t>
  </si>
  <si>
    <t>73974/1</t>
  </si>
  <si>
    <t>Piso cimentado traço 1:4, com acabamento rustico, esp. 3,5cm, inclusive forma. Material e execução.</t>
  </si>
  <si>
    <t>74156/3</t>
  </si>
  <si>
    <t>Estaca a trado (broca) Ø 20 cm, em concreto Fck 15 MPa</t>
  </si>
  <si>
    <t>Viga baldrame e cinta 20 x 20 em concreto armado Fck 25 Mpa, inclusive formas de madeira, concreto, lançamento, armadura 4 Ø 10mm corr. E estribo Ø 6,3 c/ 20cm. Fornecimento e aplicação</t>
  </si>
  <si>
    <t>Pilares de concreto 20 x 20 x 260 em concreto armado Fck 25 Mpa, inclusive formas de madeira, concreto, lançamento, armadura 4 Ø 10mm corr e estribo Ø 6,3 c/ 20cm. Fornecimento e aplicação</t>
  </si>
  <si>
    <t>Reaterro manual apilado com soquete entre os baldrames</t>
  </si>
  <si>
    <t>Alvenaria de vedação de blocos vazados de concreto 14 x 19 x 39, com esp. 14 cm, inclusive argamassa de assentamento, mão de obra e itens auxiliares. Fornecimento e aplicação.</t>
  </si>
  <si>
    <t>Massa única em argamassa traço 1:2:8, com preparo em betoneira, aplicada manualmente, esp. 25mm. Fornecimento e aplicação</t>
  </si>
  <si>
    <t>Massa fina (Calfino) traço 1: 1,5 (Areia e Cal), aplicado manualmente em 4 demãos para acabamento espelhado.</t>
  </si>
  <si>
    <t>(Cal 0,8 kg/m2 - 11161 (I) / areia fina 0,008m3/m2  - 366 (I) / pedreiro 0,25H - 88309 (C) / servente 0,25H -  88316 (C))</t>
  </si>
  <si>
    <t>Janela de aço tipo basculante, fixada com argamassa, inclusive vidro 4mm. Fornecimento e instalação</t>
  </si>
  <si>
    <t>Porta chapeada de madeira angelim c/ forro, vistas, ferragens, fechaduras ( 1 x 80 x 210 + 2 x 60 x 210 + 1 x 1 x 210). Fornecimento e instalação de porta completa</t>
  </si>
  <si>
    <t>42704 - Deinfra</t>
  </si>
  <si>
    <t>42672 - Deinfra</t>
  </si>
  <si>
    <t>Chapa dura em madeira prensada com acabamento em resina melamínica de baixa pressão e montantes metálicos para fixação, inclusive chumbamento no piso e parede - cor à ser definida posteriormente. Fornecimento e instalação em divisórias sanitárias</t>
  </si>
  <si>
    <t>Contrapiso em argamassa traço 1:4 (C/A), preparo mecânico, esp. 7cm</t>
  </si>
  <si>
    <t>Revestimento cerâmico para piso com placas tipo esmaltada extra de dimensões 35 x 35 cm. Fornecimento e aplicação, inclusive acessórios e rejunte.</t>
  </si>
  <si>
    <t>Tubo pvc soldável, água fria, DN 25mm, inclusive conexões, cortes e fixações. Material e mão de obra</t>
  </si>
  <si>
    <t>Tubo pvc soldável, água fria, DN 32mm, inclusive conexões, cortes e fixações (ramal caixa d'água da crece). Material e mão de obra</t>
  </si>
  <si>
    <t>Fossa séptica de polietileno 2500 L (min), inclusive escavação, acessórios e mão de obra. Fornecimento e instalação.</t>
  </si>
  <si>
    <t>Filtro anaeróbico de polietileno 2500 L (min), inclusive escavação, acessórios e mão de obra. Fornecimento e instalação</t>
  </si>
  <si>
    <t>74198/1</t>
  </si>
  <si>
    <t>Sumidouro em alvenaria de tijolo cerâmico maciço diâmetro 1,2m e altura 5m, com tampa em concreto armado diâmetro 1,4m e esp. 10cm. Inclusive escavação.</t>
  </si>
  <si>
    <t>Vaso sanitário infantil com caixa de descarga acoplada 6 L em louça branca, inclusive acessórios, assento plástico, bolsa de borracha para ligação e tubo pvc. Fornecimento e instalação.</t>
  </si>
  <si>
    <t>Vaso sanitário com caixa de descarga acoplada 6 L em louça branca, inclusive acessórios, assento plástico, bolsa de borracha para ligação e tubo pvc. Fornecimento e instalação.</t>
  </si>
  <si>
    <t>Vaso sanitário com acessibilidade e caixa de descarga acoplada 6 L em louça branca, inclusive acessórios, assento plástico, bolsa de borracha para ligação e tubo pvc. Fornecimento e instalação.</t>
  </si>
  <si>
    <t>Bancada em granito cinza andorinha 2 x 0,90 - esp. 2cm. Fornecimento e instalação</t>
  </si>
  <si>
    <t>Conjunto de 3 barras de apoio em aço inox polido para banheiro de portadores de necessidades especiais. Conforme NBR 9050. Fornecimento e instalação</t>
  </si>
  <si>
    <t>47980 - Deinfra</t>
  </si>
  <si>
    <t>Cuba oval de Embutir em bancada, cor branca,  e complementos (válvula, sifao e engate flexível cromados). Fornecimento e instalação.</t>
  </si>
  <si>
    <t>Torneira cromada para lavatório, fornecimento e instalação.</t>
  </si>
  <si>
    <t>Instalação de tubo pvc, série normal, para esgoto predial Ø 50mm, inclusive conexões, cortes e fixação para ligação sanitária das torneiras.</t>
  </si>
  <si>
    <t>Instalação de tubo pvc, série normal, para esgoto predial Ø 100mm, inclusive conexões, cortes e fixação para ligação sanitária das torneiras.</t>
  </si>
  <si>
    <t>Ralo sifonado, pvc, D 50mm, com junta soldável. Fornecimento e instalação.</t>
  </si>
  <si>
    <t>Caixa de inspeção 80 x 80 cm</t>
  </si>
  <si>
    <t>11 Banheiros</t>
  </si>
  <si>
    <t>Portão de ferro de abrir tipo barra chata, com requadro e guarnição completa</t>
  </si>
  <si>
    <t>73933/4</t>
  </si>
  <si>
    <t>Porta Corta-fogo 210 x 210 x 4 cm, inclusive fechadura tipo barra antipânico e demais ferragens para Saída de emergência. Fornecimento e instalação (3 unidades)</t>
  </si>
  <si>
    <t>Estrutura metálica tratada e instalada para telhado 2 águas. Fornecimento e instalação</t>
  </si>
  <si>
    <t>Compactação mecânica do solo para execução de radier, com compactador de solo a percussão</t>
  </si>
  <si>
    <t>Lastro de brita compactada nº2, com esp. de 10 cm. Fornecimento e execução.</t>
  </si>
  <si>
    <t xml:space="preserve">Pintura de faixas, espessura 5 cm, em tinta epóxi, cores variadas. </t>
  </si>
  <si>
    <t>Pintura do circulo central e áreas do gol com pintura epoxi duas demãos.</t>
  </si>
  <si>
    <r>
      <t xml:space="preserve">Piso em concreto armado com tela dupla Q 138 # 10 x 10 Ø 4,2mm, Fck 20 MPa, espessura 10cm, usinado, moldado in loco, com junta na área central preenchida com  selante elástico a base de poliuretano. </t>
    </r>
    <r>
      <rPr>
        <b/>
        <sz val="11"/>
        <color theme="1"/>
        <rFont val="Arial"/>
        <family val="2"/>
      </rPr>
      <t>Acabamento do piso polido. Material e mão de obra</t>
    </r>
  </si>
  <si>
    <t>3 Piso em concreto</t>
  </si>
  <si>
    <t>4 Pintura</t>
  </si>
  <si>
    <t>Pintura do ginásio com tinta latex acrílica em duas demãos em cores variadas, inclusive em altura.</t>
  </si>
  <si>
    <t>5 Limpeza da Obra</t>
  </si>
  <si>
    <t>Limpeza final da obra</t>
  </si>
  <si>
    <t>km</t>
  </si>
  <si>
    <t>Carga e descarga manual de entulho em caminhão basculante 6 m3</t>
  </si>
  <si>
    <t>Transporte de entulho em caminhão basculante 6 m³ até local de despejo apropriado (def. pela empresa) até 50 km.</t>
  </si>
  <si>
    <t>Subtlta item 5</t>
  </si>
  <si>
    <t>Subtotal Item 4</t>
  </si>
  <si>
    <t xml:space="preserve">Demolição do piso existente </t>
  </si>
  <si>
    <t>ORÇAMENTO DA EXECUÇÃO DE PISO DA QUADRA - ESCOLA ZÉLIA MILLES</t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</si>
</sst>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&quot;R$&quot;\ #,##0.00"/>
    <numFmt numFmtId="165" formatCode="0.0%"/>
  </numFmts>
  <fonts count="19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Arial"/>
      <family val="2"/>
    </font>
    <font>
      <i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i/>
      <sz val="11"/>
      <color rgb="FFFF0000"/>
      <name val="Arial"/>
      <family val="2"/>
    </font>
    <font>
      <b/>
      <sz val="11"/>
      <color rgb="FFFF0000"/>
      <name val="Arial"/>
      <family val="2"/>
    </font>
    <font>
      <sz val="10"/>
      <name val="Arial"/>
      <family val="2"/>
    </font>
    <font>
      <sz val="10"/>
      <color rgb="FF000000"/>
      <name val="Arial1"/>
    </font>
    <font>
      <sz val="11"/>
      <color rgb="FF000000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Arial1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12" fillId="0" borderId="0"/>
    <xf numFmtId="165" fontId="13" fillId="0" borderId="0" applyBorder="0" applyProtection="0"/>
    <xf numFmtId="0" fontId="14" fillId="0" borderId="0" applyNumberFormat="0" applyBorder="0" applyProtection="0"/>
    <xf numFmtId="44" fontId="4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164" fontId="0" fillId="0" borderId="0" xfId="0" applyNumberFormat="1"/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4" fontId="5" fillId="0" borderId="0" xfId="0" applyNumberFormat="1" applyFont="1"/>
    <xf numFmtId="0" fontId="0" fillId="2" borderId="1" xfId="0" applyFill="1" applyBorder="1"/>
    <xf numFmtId="0" fontId="1" fillId="0" borderId="0" xfId="0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0" fontId="0" fillId="0" borderId="0" xfId="1" applyNumberFormat="1" applyFont="1"/>
    <xf numFmtId="0" fontId="8" fillId="0" borderId="0" xfId="0" applyFont="1" applyAlignment="1"/>
    <xf numFmtId="0" fontId="1" fillId="0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16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Fill="1" applyBorder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6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164" fontId="10" fillId="0" borderId="1" xfId="0" applyNumberFormat="1" applyFont="1" applyFill="1" applyBorder="1" applyAlignment="1">
      <alignment horizontal="center"/>
    </xf>
    <xf numFmtId="0" fontId="3" fillId="0" borderId="1" xfId="0" applyFont="1" applyBorder="1"/>
    <xf numFmtId="165" fontId="3" fillId="0" borderId="1" xfId="1" applyNumberFormat="1" applyFont="1" applyBorder="1"/>
    <xf numFmtId="0" fontId="6" fillId="0" borderId="1" xfId="2" applyFont="1" applyFill="1" applyBorder="1" applyAlignment="1">
      <alignment horizontal="right" vertical="center"/>
    </xf>
    <xf numFmtId="0" fontId="6" fillId="0" borderId="1" xfId="4" applyNumberFormat="1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/>
    </xf>
    <xf numFmtId="0" fontId="17" fillId="0" borderId="1" xfId="4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" xfId="0" applyBorder="1"/>
    <xf numFmtId="9" fontId="1" fillId="0" borderId="1" xfId="1" applyFont="1" applyFill="1" applyBorder="1" applyAlignment="1">
      <alignment horizontal="center" vertical="center"/>
    </xf>
    <xf numFmtId="0" fontId="18" fillId="0" borderId="1" xfId="0" applyFont="1" applyBorder="1"/>
    <xf numFmtId="44" fontId="2" fillId="0" borderId="1" xfId="5" applyFont="1" applyBorder="1"/>
    <xf numFmtId="0" fontId="0" fillId="0" borderId="2" xfId="0" applyBorder="1"/>
    <xf numFmtId="0" fontId="2" fillId="0" borderId="1" xfId="0" applyFont="1" applyBorder="1" applyAlignment="1">
      <alignment horizontal="left" vertical="center"/>
    </xf>
    <xf numFmtId="44" fontId="1" fillId="0" borderId="1" xfId="5" applyFont="1" applyBorder="1" applyAlignment="1">
      <alignment horizontal="center" vertical="center" wrapText="1"/>
    </xf>
    <xf numFmtId="44" fontId="1" fillId="0" borderId="1" xfId="5" applyFont="1" applyBorder="1" applyAlignment="1">
      <alignment horizontal="center" vertical="center"/>
    </xf>
    <xf numFmtId="44" fontId="1" fillId="0" borderId="1" xfId="5" applyFont="1" applyBorder="1" applyAlignment="1">
      <alignment horizontal="center"/>
    </xf>
    <xf numFmtId="44" fontId="18" fillId="0" borderId="1" xfId="5" applyFont="1" applyBorder="1" applyAlignment="1">
      <alignment horizontal="center"/>
    </xf>
    <xf numFmtId="9" fontId="1" fillId="0" borderId="1" xfId="1" applyFont="1" applyFill="1" applyBorder="1" applyAlignment="1">
      <alignment horizontal="center" vertical="center" wrapText="1"/>
    </xf>
    <xf numFmtId="9" fontId="6" fillId="0" borderId="1" xfId="1" applyFont="1" applyFill="1" applyBorder="1" applyAlignment="1">
      <alignment horizontal="center" vertical="center"/>
    </xf>
    <xf numFmtId="9" fontId="1" fillId="0" borderId="1" xfId="1" applyFont="1" applyFill="1" applyBorder="1" applyAlignment="1">
      <alignment horizontal="center"/>
    </xf>
    <xf numFmtId="9" fontId="1" fillId="0" borderId="1" xfId="1" applyFont="1" applyFill="1" applyBorder="1" applyAlignment="1">
      <alignment horizontal="center" wrapText="1"/>
    </xf>
    <xf numFmtId="0" fontId="0" fillId="2" borderId="2" xfId="0" applyFill="1" applyBorder="1"/>
    <xf numFmtId="0" fontId="0" fillId="0" borderId="2" xfId="0" applyBorder="1" applyAlignment="1"/>
    <xf numFmtId="44" fontId="0" fillId="0" borderId="1" xfId="0" applyNumberFormat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6">
    <cellStyle name="Excel Built-in Excel Built-in Excel Built-in Excel Built-in Excel Built-in Excel Built-in Excel Built-in Separador de milhares 4" xfId="3"/>
    <cellStyle name="Excel Built-in Normal" xfId="4"/>
    <cellStyle name="Moeda" xfId="5" builtinId="4"/>
    <cellStyle name="Normal" xfId="0" builtinId="0"/>
    <cellStyle name="Normal 2" xfId="2"/>
    <cellStyle name="Porcentagem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3477986</xdr:colOff>
      <xdr:row>0</xdr:row>
      <xdr:rowOff>85044</xdr:rowOff>
    </xdr:from>
    <xdr:to>
      <xdr:col>6</xdr:col>
      <xdr:colOff>201159</xdr:colOff>
      <xdr:row>2</xdr:row>
      <xdr:rowOff>23812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77986" y="85044"/>
          <a:ext cx="6236267" cy="1939018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1514475</xdr:colOff>
      <xdr:row>0</xdr:row>
      <xdr:rowOff>76200</xdr:rowOff>
    </xdr:from>
    <xdr:to>
      <xdr:col>3</xdr:col>
      <xdr:colOff>114301</xdr:colOff>
      <xdr:row>2</xdr:row>
      <xdr:rowOff>19050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76200"/>
          <a:ext cx="6248401" cy="19431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0"/>
  <sheetViews>
    <sheetView tabSelected="1" topLeftCell="B1" zoomScale="80" zoomScaleNormal="80" workbookViewId="0">
      <selection activeCell="I1" sqref="I1"/>
    </sheetView>
  </sheetViews>
  <sheetFormatPr defaultRowHeight="15"/>
  <cols>
    <col min="1" max="1" width="0" hidden="1" customWidth="1"/>
    <col min="2" max="2" width="76.85546875" customWidth="1"/>
    <col min="3" max="3" width="20.42578125" customWidth="1"/>
    <col min="4" max="4" width="14.7109375" customWidth="1"/>
    <col min="5" max="5" width="15.5703125" customWidth="1"/>
    <col min="6" max="6" width="15.42578125" customWidth="1"/>
    <col min="7" max="7" width="15.28515625" customWidth="1"/>
    <col min="8" max="8" width="17.85546875" customWidth="1"/>
  </cols>
  <sheetData>
    <row r="1" spans="1:8" ht="126.75" customHeight="1">
      <c r="B1" s="100"/>
      <c r="C1" s="101"/>
      <c r="D1" s="101"/>
      <c r="E1" s="101"/>
      <c r="F1" s="101"/>
      <c r="G1" s="101"/>
      <c r="H1" s="101"/>
    </row>
    <row r="2" spans="1:8" ht="30.75" customHeight="1">
      <c r="A2" s="84"/>
      <c r="B2" s="102" t="s">
        <v>83</v>
      </c>
      <c r="C2" s="102"/>
      <c r="D2" s="102"/>
      <c r="E2" s="102"/>
      <c r="F2" s="102"/>
      <c r="G2" s="102"/>
      <c r="H2" s="102"/>
    </row>
    <row r="3" spans="1:8" ht="30.75" customHeight="1">
      <c r="A3" s="84" t="s">
        <v>15</v>
      </c>
      <c r="B3" s="2" t="s">
        <v>0</v>
      </c>
      <c r="C3" s="2" t="s">
        <v>85</v>
      </c>
      <c r="D3" s="2" t="s">
        <v>86</v>
      </c>
      <c r="E3" s="2" t="s">
        <v>87</v>
      </c>
      <c r="F3" s="2" t="s">
        <v>88</v>
      </c>
      <c r="G3" s="2" t="s">
        <v>89</v>
      </c>
      <c r="H3" s="2" t="s">
        <v>90</v>
      </c>
    </row>
    <row r="4" spans="1:8" ht="15" customHeight="1">
      <c r="A4" s="74"/>
      <c r="B4" s="5" t="str">
        <f>'orçamento FEITO'!B5</f>
        <v>1 Colocação de placa e locação da obra</v>
      </c>
      <c r="C4" s="76">
        <f>'orçamento FEITO'!G14</f>
        <v>2141.5904</v>
      </c>
      <c r="D4" s="80">
        <v>1</v>
      </c>
      <c r="E4" s="80"/>
      <c r="F4" s="80"/>
      <c r="G4" s="80"/>
      <c r="H4" s="81"/>
    </row>
    <row r="5" spans="1:8" s="1" customFormat="1" ht="15" customHeight="1">
      <c r="A5" s="85"/>
      <c r="B5" s="75" t="str">
        <f>'orçamento FEITO'!B15</f>
        <v>2 Aterro Compactado</v>
      </c>
      <c r="C5" s="77">
        <f>'orçamento FEITO'!G20</f>
        <v>11320.66</v>
      </c>
      <c r="D5" s="71">
        <v>0.4</v>
      </c>
      <c r="E5" s="82">
        <v>0.6</v>
      </c>
      <c r="F5" s="82"/>
      <c r="G5" s="80"/>
      <c r="H5" s="71"/>
    </row>
    <row r="6" spans="1:8" ht="15" customHeight="1">
      <c r="A6" s="74"/>
      <c r="B6" s="5" t="str">
        <f>'orçamento FEITO'!B56</f>
        <v>3 Piso em concreto</v>
      </c>
      <c r="C6" s="76">
        <f>'orçamento FEITO'!G60</f>
        <v>41149.699999999997</v>
      </c>
      <c r="D6" s="80"/>
      <c r="E6" s="83">
        <v>0.5</v>
      </c>
      <c r="F6" s="83">
        <v>0.5</v>
      </c>
      <c r="G6" s="80"/>
      <c r="H6" s="71"/>
    </row>
    <row r="7" spans="1:8">
      <c r="A7" s="74">
        <v>73346</v>
      </c>
      <c r="B7" s="75" t="str">
        <f>'orçamento FEITO'!B66</f>
        <v>4 Pintura</v>
      </c>
      <c r="C7" s="77">
        <f>'orçamento FEITO'!G68</f>
        <v>16115</v>
      </c>
      <c r="D7" s="71"/>
      <c r="E7" s="82"/>
      <c r="F7" s="82"/>
      <c r="G7" s="80">
        <v>0.5</v>
      </c>
      <c r="H7" s="71">
        <v>0.5</v>
      </c>
    </row>
    <row r="8" spans="1:8">
      <c r="A8" s="74" t="s">
        <v>84</v>
      </c>
      <c r="B8" s="14" t="str">
        <f>'orçamento FEITO'!B69</f>
        <v>5 Limpeza da Obra</v>
      </c>
      <c r="C8" s="78">
        <f>'orçamento FEITO'!G73</f>
        <v>3521.76</v>
      </c>
      <c r="D8" s="82"/>
      <c r="E8" s="82"/>
      <c r="F8" s="82"/>
      <c r="G8" s="80"/>
      <c r="H8" s="71">
        <v>1</v>
      </c>
    </row>
    <row r="9" spans="1:8" ht="19.5" customHeight="1">
      <c r="A9" s="74"/>
      <c r="B9" s="72" t="s">
        <v>7</v>
      </c>
      <c r="C9" s="79">
        <f>SUM(C4:C8)</f>
        <v>74248.710399999996</v>
      </c>
      <c r="D9" s="73">
        <f>D4*$C$4+D5*$C$5+D6*$C$6+D7*$C$7+D8*$C$8</f>
        <v>6669.8544000000002</v>
      </c>
      <c r="E9" s="73">
        <f>E4*$C$4+E5*$C$5+E6*$C$6+E7*$C$7+E8*$C$8</f>
        <v>27367.245999999999</v>
      </c>
      <c r="F9" s="73">
        <f>F4*$C$4+F5*$C$5+F6*$C$6+F7*$C$7+F8*$C$8</f>
        <v>20574.849999999999</v>
      </c>
      <c r="G9" s="73">
        <f>G4*$C$4+G5*$C$5+G6*$C$6+G7*$C$7+G8*$C$8</f>
        <v>8057.5</v>
      </c>
      <c r="H9" s="73">
        <f>H4*$C$4+H5*$C$5+H6*$C$6+H7*$C$7+H8*$C$8</f>
        <v>11579.26</v>
      </c>
    </row>
    <row r="10" spans="1:8">
      <c r="B10" s="70" t="s">
        <v>91</v>
      </c>
      <c r="C10" s="70"/>
      <c r="D10" s="86">
        <f>D9</f>
        <v>6669.8544000000002</v>
      </c>
      <c r="E10" s="86">
        <f>D10+E9</f>
        <v>34037.100399999996</v>
      </c>
      <c r="F10" s="86">
        <f t="shared" ref="F10:H10" si="0">E10+F9</f>
        <v>54611.950399999994</v>
      </c>
      <c r="G10" s="86">
        <f t="shared" si="0"/>
        <v>62669.450399999994</v>
      </c>
      <c r="H10" s="86">
        <f t="shared" si="0"/>
        <v>74248.710399999996</v>
      </c>
    </row>
  </sheetData>
  <mergeCells count="2">
    <mergeCell ref="B1:H1"/>
    <mergeCell ref="B2:H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5" sqref="B25"/>
    </sheetView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08"/>
  <sheetViews>
    <sheetView topLeftCell="A3" zoomScale="70" zoomScaleNormal="70" workbookViewId="0">
      <selection activeCell="A122" sqref="A122"/>
    </sheetView>
  </sheetViews>
  <sheetFormatPr defaultRowHeight="15"/>
  <cols>
    <col min="1" max="1" width="21.28515625" customWidth="1"/>
    <col min="2" max="2" width="105.5703125" customWidth="1"/>
    <col min="5" max="5" width="13.85546875" customWidth="1"/>
    <col min="6" max="6" width="14.140625" customWidth="1"/>
    <col min="7" max="7" width="18" customWidth="1"/>
    <col min="8" max="9" width="12.7109375" bestFit="1" customWidth="1"/>
    <col min="10" max="10" width="11.7109375" bestFit="1" customWidth="1"/>
    <col min="12" max="12" width="36.7109375" customWidth="1"/>
  </cols>
  <sheetData>
    <row r="1" spans="1:13" ht="126.75" customHeight="1">
      <c r="B1" s="93"/>
      <c r="C1" s="93"/>
      <c r="D1" s="93"/>
      <c r="E1" s="93"/>
      <c r="F1" s="93"/>
      <c r="G1" s="93"/>
      <c r="L1">
        <f>60/80</f>
        <v>0.75</v>
      </c>
    </row>
    <row r="2" spans="1:13" ht="30.75" customHeight="1">
      <c r="A2" s="20"/>
      <c r="B2" s="94" t="s">
        <v>157</v>
      </c>
      <c r="C2" s="95"/>
      <c r="D2" s="95"/>
      <c r="E2" s="95"/>
      <c r="F2" s="95"/>
      <c r="G2" s="96"/>
    </row>
    <row r="3" spans="1:13" ht="30.75" customHeight="1">
      <c r="A3" s="20" t="s">
        <v>15</v>
      </c>
      <c r="B3" s="92" t="s">
        <v>0</v>
      </c>
      <c r="C3" s="92" t="s">
        <v>1</v>
      </c>
      <c r="D3" s="92" t="s">
        <v>5</v>
      </c>
      <c r="E3" s="92" t="s">
        <v>2</v>
      </c>
      <c r="F3" s="92" t="s">
        <v>13</v>
      </c>
      <c r="G3" s="92" t="s">
        <v>3</v>
      </c>
      <c r="J3" s="21"/>
    </row>
    <row r="4" spans="1:13" ht="15" customHeight="1">
      <c r="A4" s="12"/>
      <c r="B4" s="3"/>
      <c r="C4" s="3"/>
      <c r="D4" s="3"/>
      <c r="E4" s="3"/>
      <c r="F4" s="3"/>
      <c r="G4" s="4"/>
      <c r="K4" s="61"/>
      <c r="L4" s="62" t="s">
        <v>30</v>
      </c>
      <c r="M4" s="63"/>
    </row>
    <row r="5" spans="1:13" ht="15" customHeight="1">
      <c r="A5" s="12"/>
      <c r="B5" s="5" t="s">
        <v>18</v>
      </c>
      <c r="C5" s="3"/>
      <c r="D5" s="3"/>
      <c r="E5" s="4"/>
      <c r="F5" s="4"/>
      <c r="G5" s="22"/>
      <c r="H5" s="15"/>
      <c r="K5" s="64">
        <v>94971</v>
      </c>
      <c r="L5" s="65" t="s">
        <v>31</v>
      </c>
      <c r="M5" s="66">
        <v>310.37</v>
      </c>
    </row>
    <row r="6" spans="1:13" ht="15" customHeight="1">
      <c r="A6" s="56" t="s">
        <v>63</v>
      </c>
      <c r="B6" s="17" t="s">
        <v>79</v>
      </c>
      <c r="C6" s="58" t="s">
        <v>77</v>
      </c>
      <c r="D6" s="87">
        <f>2.4*1.2</f>
        <v>2.88</v>
      </c>
      <c r="E6" s="4">
        <v>304.41000000000003</v>
      </c>
      <c r="F6" s="4">
        <f t="shared" ref="F6:F13" si="0">TRUNC(E6*(1+$C$108),2)</f>
        <v>372.08</v>
      </c>
      <c r="G6" s="22">
        <f t="shared" ref="G6:G13" si="1">F6*D6</f>
        <v>1071.5903999999998</v>
      </c>
      <c r="H6" s="15"/>
      <c r="K6" s="64"/>
      <c r="L6" s="65"/>
      <c r="M6" s="66"/>
    </row>
    <row r="7" spans="1:13" ht="15" hidden="1" customHeight="1">
      <c r="A7" s="57" t="s">
        <v>64</v>
      </c>
      <c r="B7" s="17" t="s">
        <v>65</v>
      </c>
      <c r="C7" s="58" t="s">
        <v>66</v>
      </c>
      <c r="D7" s="87"/>
      <c r="E7" s="4">
        <v>905.86</v>
      </c>
      <c r="F7" s="4">
        <f t="shared" si="0"/>
        <v>1107.23</v>
      </c>
      <c r="G7" s="22">
        <f t="shared" si="1"/>
        <v>0</v>
      </c>
      <c r="H7" s="15"/>
      <c r="K7" s="64"/>
      <c r="L7" s="65"/>
      <c r="M7" s="66"/>
    </row>
    <row r="8" spans="1:13" ht="15" hidden="1" customHeight="1">
      <c r="A8" s="56" t="s">
        <v>67</v>
      </c>
      <c r="B8" s="17" t="s">
        <v>68</v>
      </c>
      <c r="C8" s="58" t="s">
        <v>66</v>
      </c>
      <c r="D8" s="87"/>
      <c r="E8" s="4">
        <v>1459.88</v>
      </c>
      <c r="F8" s="4">
        <f t="shared" si="0"/>
        <v>1784.41</v>
      </c>
      <c r="G8" s="22">
        <f t="shared" si="1"/>
        <v>0</v>
      </c>
      <c r="H8" s="15"/>
      <c r="K8" s="64"/>
      <c r="L8" s="65"/>
      <c r="M8" s="66"/>
    </row>
    <row r="9" spans="1:13" ht="15" hidden="1" customHeight="1">
      <c r="A9" s="57" t="s">
        <v>69</v>
      </c>
      <c r="B9" s="17" t="s">
        <v>70</v>
      </c>
      <c r="C9" s="59" t="s">
        <v>66</v>
      </c>
      <c r="D9" s="87"/>
      <c r="E9" s="4">
        <v>206</v>
      </c>
      <c r="F9" s="4">
        <f t="shared" si="0"/>
        <v>251.79</v>
      </c>
      <c r="G9" s="22">
        <f t="shared" si="1"/>
        <v>0</v>
      </c>
      <c r="H9" s="15"/>
      <c r="K9" s="64"/>
      <c r="L9" s="65"/>
      <c r="M9" s="66"/>
    </row>
    <row r="10" spans="1:13" ht="15" hidden="1" customHeight="1">
      <c r="A10" s="56">
        <v>85253</v>
      </c>
      <c r="B10" s="17" t="s">
        <v>71</v>
      </c>
      <c r="C10" s="58" t="s">
        <v>77</v>
      </c>
      <c r="D10" s="87"/>
      <c r="E10" s="4">
        <v>191.63</v>
      </c>
      <c r="F10" s="4">
        <f t="shared" si="0"/>
        <v>234.22</v>
      </c>
      <c r="G10" s="22">
        <f t="shared" si="1"/>
        <v>0</v>
      </c>
      <c r="H10" s="15"/>
      <c r="K10" s="64"/>
      <c r="L10" s="65"/>
      <c r="M10" s="66"/>
    </row>
    <row r="11" spans="1:13" ht="15" hidden="1" customHeight="1">
      <c r="A11" s="56" t="s">
        <v>72</v>
      </c>
      <c r="B11" s="17" t="s">
        <v>73</v>
      </c>
      <c r="C11" s="58" t="s">
        <v>46</v>
      </c>
      <c r="D11" s="87"/>
      <c r="E11" s="4">
        <v>0.28000000000000003</v>
      </c>
      <c r="F11" s="4">
        <f t="shared" si="0"/>
        <v>0.34</v>
      </c>
      <c r="G11" s="22">
        <f t="shared" si="1"/>
        <v>0</v>
      </c>
      <c r="H11" s="15"/>
      <c r="K11" s="64"/>
      <c r="L11" s="65"/>
      <c r="M11" s="66"/>
    </row>
    <row r="12" spans="1:13" ht="15" hidden="1" customHeight="1">
      <c r="A12" s="56" t="s">
        <v>74</v>
      </c>
      <c r="B12" s="17" t="s">
        <v>75</v>
      </c>
      <c r="C12" s="58" t="s">
        <v>77</v>
      </c>
      <c r="D12" s="87"/>
      <c r="E12" s="4">
        <v>3.7</v>
      </c>
      <c r="F12" s="4">
        <f t="shared" si="0"/>
        <v>4.5199999999999996</v>
      </c>
      <c r="G12" s="22">
        <f t="shared" si="1"/>
        <v>0</v>
      </c>
      <c r="H12" s="15"/>
      <c r="K12" s="64"/>
      <c r="L12" s="65"/>
      <c r="M12" s="66"/>
    </row>
    <row r="13" spans="1:13" ht="15" customHeight="1">
      <c r="A13" s="56" t="s">
        <v>76</v>
      </c>
      <c r="B13" s="17" t="s">
        <v>78</v>
      </c>
      <c r="C13" s="58" t="s">
        <v>77</v>
      </c>
      <c r="D13" s="87">
        <v>20</v>
      </c>
      <c r="E13" s="4">
        <v>43.77</v>
      </c>
      <c r="F13" s="4">
        <f t="shared" si="0"/>
        <v>53.5</v>
      </c>
      <c r="G13" s="22">
        <f t="shared" si="1"/>
        <v>1070</v>
      </c>
      <c r="H13" s="15"/>
      <c r="K13" s="64"/>
      <c r="L13" s="65"/>
      <c r="M13" s="66"/>
    </row>
    <row r="14" spans="1:13" ht="15" customHeight="1">
      <c r="A14" s="56"/>
      <c r="B14" s="60" t="s">
        <v>80</v>
      </c>
      <c r="C14" s="58"/>
      <c r="D14" s="87"/>
      <c r="E14" s="4"/>
      <c r="F14" s="4"/>
      <c r="G14" s="41">
        <f>SUM(G6:G13)</f>
        <v>2141.5904</v>
      </c>
      <c r="H14" s="15"/>
      <c r="K14" s="64"/>
      <c r="L14" s="65"/>
      <c r="M14" s="66"/>
    </row>
    <row r="15" spans="1:13" ht="15" customHeight="1">
      <c r="A15" s="12"/>
      <c r="B15" s="5" t="s">
        <v>25</v>
      </c>
      <c r="C15" s="3"/>
      <c r="D15" s="87"/>
      <c r="E15" s="4"/>
      <c r="F15" s="4"/>
      <c r="G15" s="22"/>
      <c r="H15" s="15"/>
      <c r="K15" s="67">
        <v>5651</v>
      </c>
      <c r="L15" s="68" t="s">
        <v>33</v>
      </c>
      <c r="M15" s="69">
        <f>32.41*12</f>
        <v>388.91999999999996</v>
      </c>
    </row>
    <row r="16" spans="1:13" ht="15" customHeight="1">
      <c r="A16" s="12">
        <v>97629</v>
      </c>
      <c r="B16" s="17" t="s">
        <v>156</v>
      </c>
      <c r="C16" s="3" t="s">
        <v>38</v>
      </c>
      <c r="D16" s="87">
        <f>400*0.07</f>
        <v>28.000000000000004</v>
      </c>
      <c r="E16" s="4">
        <v>101.59</v>
      </c>
      <c r="F16" s="4">
        <f>TRUNC(E16*(1+$C$108),2)</f>
        <v>124.17</v>
      </c>
      <c r="G16" s="22">
        <f>F16*D16</f>
        <v>3476.7600000000007</v>
      </c>
      <c r="H16" s="15"/>
      <c r="K16" s="65"/>
      <c r="L16" s="65"/>
      <c r="M16" s="65"/>
    </row>
    <row r="17" spans="1:14" ht="32.25" customHeight="1">
      <c r="A17" s="12">
        <v>97083</v>
      </c>
      <c r="B17" s="17" t="s">
        <v>141</v>
      </c>
      <c r="C17" s="3" t="s">
        <v>46</v>
      </c>
      <c r="D17" s="87">
        <v>400</v>
      </c>
      <c r="E17" s="4">
        <v>2.58</v>
      </c>
      <c r="F17" s="4">
        <f t="shared" ref="F17" si="2">TRUNC(E17*(1+$C$108),2)</f>
        <v>3.15</v>
      </c>
      <c r="G17" s="22">
        <f>F17*D17</f>
        <v>1260</v>
      </c>
      <c r="H17" s="15"/>
      <c r="K17" s="65"/>
      <c r="L17" s="65"/>
      <c r="M17" s="65"/>
    </row>
    <row r="18" spans="1:14" ht="35.25" customHeight="1">
      <c r="A18" s="12">
        <v>83668</v>
      </c>
      <c r="B18" s="91" t="s">
        <v>142</v>
      </c>
      <c r="C18" s="3" t="s">
        <v>38</v>
      </c>
      <c r="D18" s="87">
        <f>40</f>
        <v>40</v>
      </c>
      <c r="E18" s="4">
        <v>85.79</v>
      </c>
      <c r="F18" s="4">
        <f>TRUNC(E18*(1+$C$108),2)</f>
        <v>104.86</v>
      </c>
      <c r="G18" s="22">
        <f>F18*D18</f>
        <v>4194.3999999999996</v>
      </c>
      <c r="H18" s="15"/>
    </row>
    <row r="19" spans="1:14" s="1" customFormat="1" ht="15" customHeight="1">
      <c r="A19" s="48">
        <v>68053</v>
      </c>
      <c r="B19" s="11" t="s">
        <v>53</v>
      </c>
      <c r="C19" s="7" t="s">
        <v>46</v>
      </c>
      <c r="D19" s="30">
        <v>405</v>
      </c>
      <c r="E19" s="9">
        <v>4.83</v>
      </c>
      <c r="F19" s="4">
        <f>TRUNC(E19*(1+$C$108),2)</f>
        <v>5.9</v>
      </c>
      <c r="G19" s="22">
        <f>F19*D19</f>
        <v>2389.5</v>
      </c>
      <c r="H19" s="15"/>
      <c r="L19" s="1" t="s">
        <v>32</v>
      </c>
      <c r="M19" s="26">
        <f>SUM(M5:M15)</f>
        <v>699.29</v>
      </c>
    </row>
    <row r="20" spans="1:14" s="1" customFormat="1" ht="15" customHeight="1">
      <c r="A20" s="48"/>
      <c r="B20" s="35" t="s">
        <v>20</v>
      </c>
      <c r="C20" s="7"/>
      <c r="D20" s="30"/>
      <c r="E20" s="9"/>
      <c r="F20" s="4"/>
      <c r="G20" s="41">
        <f>SUM(G16:G19)</f>
        <v>11320.66</v>
      </c>
      <c r="H20" s="15"/>
      <c r="M20" s="26"/>
    </row>
    <row r="21" spans="1:14" ht="15" hidden="1" customHeight="1">
      <c r="A21" s="12"/>
      <c r="B21" s="5" t="s">
        <v>50</v>
      </c>
      <c r="C21" s="3"/>
      <c r="D21" s="88"/>
      <c r="E21" s="10"/>
      <c r="F21" s="4"/>
      <c r="G21" s="6"/>
      <c r="H21" s="15"/>
    </row>
    <row r="22" spans="1:14" hidden="1">
      <c r="A22" s="12">
        <v>73346</v>
      </c>
      <c r="B22" s="11" t="s">
        <v>23</v>
      </c>
      <c r="C22" s="7" t="s">
        <v>6</v>
      </c>
      <c r="D22" s="30"/>
      <c r="E22" s="31">
        <f>1*1*0.8*M19</f>
        <v>559.43200000000002</v>
      </c>
      <c r="F22" s="4"/>
      <c r="G22" s="6">
        <f>F22*D22</f>
        <v>0</v>
      </c>
      <c r="H22" s="15"/>
    </row>
    <row r="23" spans="1:14" ht="29.25" hidden="1">
      <c r="A23" s="12">
        <v>72819</v>
      </c>
      <c r="B23" s="27" t="s">
        <v>24</v>
      </c>
      <c r="C23" s="8" t="s">
        <v>8</v>
      </c>
      <c r="D23" s="30"/>
      <c r="E23" s="31">
        <v>90</v>
      </c>
      <c r="F23" s="4"/>
      <c r="G23" s="6">
        <f>F23*D23</f>
        <v>0</v>
      </c>
      <c r="H23" s="15"/>
      <c r="M23" t="s">
        <v>27</v>
      </c>
      <c r="N23" s="25">
        <v>6.1199999999999997E-2</v>
      </c>
    </row>
    <row r="24" spans="1:14" ht="19.5" hidden="1" customHeight="1">
      <c r="A24" s="97" t="s">
        <v>36</v>
      </c>
      <c r="B24" s="12" t="s">
        <v>26</v>
      </c>
      <c r="C24" s="8" t="s">
        <v>6</v>
      </c>
      <c r="D24" s="30"/>
      <c r="E24" s="31">
        <f>0.2*0.4*4.75*M19</f>
        <v>265.73020000000002</v>
      </c>
      <c r="F24" s="4"/>
      <c r="G24" s="6">
        <f>F24*D24</f>
        <v>0</v>
      </c>
      <c r="H24" s="15"/>
    </row>
    <row r="25" spans="1:14" ht="19.5" hidden="1" customHeight="1">
      <c r="A25" s="98"/>
      <c r="B25" s="12" t="s">
        <v>35</v>
      </c>
      <c r="C25" s="8" t="s">
        <v>6</v>
      </c>
      <c r="D25" s="30"/>
      <c r="E25" s="31">
        <f>0.2*0.4*4.25*M19</f>
        <v>237.75860000000003</v>
      </c>
      <c r="F25" s="4"/>
      <c r="G25" s="6">
        <f>F25*D25</f>
        <v>0</v>
      </c>
      <c r="H25" s="15"/>
    </row>
    <row r="26" spans="1:14" hidden="1">
      <c r="A26" s="12"/>
      <c r="B26" s="37" t="s">
        <v>19</v>
      </c>
      <c r="C26" s="23"/>
      <c r="D26" s="33"/>
      <c r="E26" s="24"/>
      <c r="F26" s="4"/>
      <c r="G26" s="41">
        <f>SUM(G22:G24)</f>
        <v>0</v>
      </c>
      <c r="H26" s="19"/>
      <c r="J26" s="15"/>
    </row>
    <row r="27" spans="1:14" hidden="1">
      <c r="A27" s="12"/>
      <c r="B27" s="14" t="s">
        <v>51</v>
      </c>
      <c r="C27" s="8"/>
      <c r="D27" s="30"/>
      <c r="E27" s="9"/>
      <c r="F27" s="4"/>
      <c r="G27" s="6"/>
      <c r="H27" s="15"/>
    </row>
    <row r="28" spans="1:14" hidden="1">
      <c r="A28" s="99"/>
      <c r="B28" s="29" t="s">
        <v>93</v>
      </c>
      <c r="C28" s="30" t="s">
        <v>6</v>
      </c>
      <c r="D28" s="30"/>
      <c r="E28" s="31">
        <f>0.25*0.4*7*M19</f>
        <v>489.50300000000004</v>
      </c>
      <c r="F28" s="4"/>
      <c r="G28" s="32">
        <f t="shared" ref="G28:G34" si="3">F28*D28</f>
        <v>0</v>
      </c>
      <c r="H28" s="15"/>
    </row>
    <row r="29" spans="1:14" hidden="1">
      <c r="A29" s="99"/>
      <c r="B29" s="27" t="s">
        <v>40</v>
      </c>
      <c r="C29" s="30" t="s">
        <v>6</v>
      </c>
      <c r="D29" s="30"/>
      <c r="E29" s="31">
        <f>0.2*0.4*4.25*M19</f>
        <v>237.75860000000003</v>
      </c>
      <c r="F29" s="4"/>
      <c r="G29" s="32">
        <f t="shared" si="3"/>
        <v>0</v>
      </c>
      <c r="H29" s="15" t="s">
        <v>28</v>
      </c>
    </row>
    <row r="30" spans="1:14" hidden="1">
      <c r="A30" s="99"/>
      <c r="B30" s="27" t="s">
        <v>41</v>
      </c>
      <c r="C30" s="30" t="s">
        <v>6</v>
      </c>
      <c r="D30" s="30"/>
      <c r="E30" s="31">
        <f>0.2*0.4*4.75*M19</f>
        <v>265.73020000000002</v>
      </c>
      <c r="F30" s="4"/>
      <c r="G30" s="32">
        <f t="shared" si="3"/>
        <v>0</v>
      </c>
      <c r="H30" s="15"/>
    </row>
    <row r="31" spans="1:14" hidden="1">
      <c r="A31" s="99"/>
      <c r="B31" s="29" t="s">
        <v>42</v>
      </c>
      <c r="C31" s="30" t="s">
        <v>6</v>
      </c>
      <c r="D31" s="30"/>
      <c r="E31" s="31">
        <f>0.2*0.3*4.25*M19</f>
        <v>178.31895</v>
      </c>
      <c r="F31" s="4"/>
      <c r="G31" s="32">
        <f t="shared" si="3"/>
        <v>0</v>
      </c>
      <c r="H31" s="15" t="s">
        <v>29</v>
      </c>
    </row>
    <row r="32" spans="1:14" hidden="1">
      <c r="A32" s="99"/>
      <c r="B32" s="29" t="s">
        <v>43</v>
      </c>
      <c r="C32" s="30" t="s">
        <v>6</v>
      </c>
      <c r="D32" s="30"/>
      <c r="E32" s="31">
        <f>0.2*0.3*4.75*M19</f>
        <v>199.29764999999998</v>
      </c>
      <c r="F32" s="4"/>
      <c r="G32" s="32">
        <f t="shared" si="3"/>
        <v>0</v>
      </c>
      <c r="H32" s="15"/>
    </row>
    <row r="33" spans="1:13" hidden="1">
      <c r="A33" s="49" t="s">
        <v>44</v>
      </c>
      <c r="B33" s="29" t="s">
        <v>92</v>
      </c>
      <c r="C33" s="30" t="s">
        <v>6</v>
      </c>
      <c r="D33" s="30"/>
      <c r="E33" s="31">
        <f>23*0.6*0.25*M19+18*57.39</f>
        <v>3445.5704999999998</v>
      </c>
      <c r="F33" s="4"/>
      <c r="G33" s="32">
        <f t="shared" si="3"/>
        <v>0</v>
      </c>
      <c r="H33" s="15"/>
    </row>
    <row r="34" spans="1:13" hidden="1">
      <c r="A34" s="50"/>
      <c r="B34" s="29" t="s">
        <v>94</v>
      </c>
      <c r="C34" s="30" t="s">
        <v>6</v>
      </c>
      <c r="D34" s="30"/>
      <c r="E34" s="31">
        <v>80</v>
      </c>
      <c r="F34" s="4"/>
      <c r="G34" s="32">
        <f t="shared" si="3"/>
        <v>0</v>
      </c>
      <c r="H34" s="15"/>
      <c r="L34" s="61"/>
      <c r="M34" s="63"/>
    </row>
    <row r="35" spans="1:13" hidden="1">
      <c r="A35" s="12"/>
      <c r="B35" s="38" t="s">
        <v>52</v>
      </c>
      <c r="C35" s="33"/>
      <c r="D35" s="33"/>
      <c r="E35" s="34"/>
      <c r="F35" s="4"/>
      <c r="G35" s="42">
        <f>SUM(G28:G34)</f>
        <v>0</v>
      </c>
      <c r="H35" s="19"/>
      <c r="J35" s="15"/>
      <c r="L35" s="64" t="s">
        <v>47</v>
      </c>
      <c r="M35" s="66"/>
    </row>
    <row r="36" spans="1:13" hidden="1">
      <c r="A36" s="12"/>
      <c r="B36" s="18" t="s">
        <v>9</v>
      </c>
      <c r="C36" s="8"/>
      <c r="D36" s="30"/>
      <c r="E36" s="9"/>
      <c r="F36" s="4"/>
      <c r="G36" s="6"/>
      <c r="H36" s="15"/>
      <c r="L36" s="64" t="s">
        <v>48</v>
      </c>
      <c r="M36" s="66" t="e">
        <f>(M5+0.75*#REF!)</f>
        <v>#REF!</v>
      </c>
    </row>
    <row r="37" spans="1:13" ht="26.25" hidden="1">
      <c r="A37" s="51" t="s">
        <v>37</v>
      </c>
      <c r="B37" s="28" t="s">
        <v>16</v>
      </c>
      <c r="C37" s="8" t="s">
        <v>46</v>
      </c>
      <c r="D37" s="30"/>
      <c r="E37" s="9" t="e">
        <f>M37</f>
        <v>#REF!</v>
      </c>
      <c r="F37" s="4"/>
      <c r="G37" s="6">
        <f>F37*D37</f>
        <v>0</v>
      </c>
      <c r="H37" s="15"/>
      <c r="I37" s="15" t="e">
        <f>1*1*0.15*E37</f>
        <v>#REF!</v>
      </c>
      <c r="L37" s="64" t="s">
        <v>49</v>
      </c>
      <c r="M37" s="66" t="e">
        <f>M36*0.15</f>
        <v>#REF!</v>
      </c>
    </row>
    <row r="38" spans="1:13" hidden="1">
      <c r="A38" s="12" t="s">
        <v>17</v>
      </c>
      <c r="B38" s="13" t="s">
        <v>45</v>
      </c>
      <c r="C38" s="8" t="s">
        <v>6</v>
      </c>
      <c r="D38" s="30"/>
      <c r="E38" s="31">
        <f>4.75*(250/(1+C108))</f>
        <v>971.52908451280382</v>
      </c>
      <c r="F38" s="4"/>
      <c r="G38" s="6">
        <f>F38*D38</f>
        <v>0</v>
      </c>
      <c r="H38" s="15"/>
      <c r="L38" s="64">
        <f>18*8+25*4+25*8+18*8-5*4</f>
        <v>568</v>
      </c>
      <c r="M38" s="66"/>
    </row>
    <row r="39" spans="1:13" hidden="1">
      <c r="A39" s="52" t="s">
        <v>34</v>
      </c>
      <c r="B39" s="28" t="s">
        <v>39</v>
      </c>
      <c r="C39" s="8" t="s">
        <v>4</v>
      </c>
      <c r="D39" s="30"/>
      <c r="E39" s="31">
        <v>125.79</v>
      </c>
      <c r="F39" s="4"/>
      <c r="G39" s="6">
        <f>F39*D39</f>
        <v>0</v>
      </c>
      <c r="H39" s="15"/>
      <c r="I39" s="15"/>
      <c r="L39" s="67">
        <f>568*0.15</f>
        <v>85.2</v>
      </c>
      <c r="M39" s="69"/>
    </row>
    <row r="40" spans="1:13" hidden="1">
      <c r="A40" s="52">
        <v>88489</v>
      </c>
      <c r="B40" s="28" t="s">
        <v>59</v>
      </c>
      <c r="C40" s="8" t="s">
        <v>46</v>
      </c>
      <c r="D40" s="30"/>
      <c r="E40" s="31">
        <v>11.08</v>
      </c>
      <c r="F40" s="4"/>
      <c r="G40" s="6">
        <f>F40*D40</f>
        <v>0</v>
      </c>
      <c r="H40" s="15"/>
      <c r="I40" s="15"/>
      <c r="L40" s="65"/>
      <c r="M40" s="65"/>
    </row>
    <row r="41" spans="1:13" hidden="1">
      <c r="A41" s="12"/>
      <c r="B41" s="39" t="s">
        <v>21</v>
      </c>
      <c r="C41" s="40"/>
      <c r="D41" s="44"/>
      <c r="E41" s="53"/>
      <c r="F41" s="4"/>
      <c r="G41" s="41">
        <f>SUM(G37:G40)</f>
        <v>0</v>
      </c>
      <c r="H41" s="19"/>
      <c r="I41" s="15"/>
    </row>
    <row r="42" spans="1:13" hidden="1">
      <c r="A42" s="12"/>
      <c r="B42" s="18" t="s">
        <v>95</v>
      </c>
      <c r="C42" s="40"/>
      <c r="D42" s="44"/>
      <c r="E42" s="53"/>
      <c r="F42" s="4"/>
      <c r="G42" s="41"/>
      <c r="H42" s="19"/>
      <c r="I42" s="15"/>
    </row>
    <row r="43" spans="1:13" hidden="1">
      <c r="A43" s="12" t="s">
        <v>100</v>
      </c>
      <c r="B43" s="28" t="s">
        <v>101</v>
      </c>
      <c r="C43" s="47" t="s">
        <v>46</v>
      </c>
      <c r="D43" s="89"/>
      <c r="E43" s="31">
        <v>39</v>
      </c>
      <c r="F43" s="4"/>
      <c r="G43" s="6">
        <f t="shared" ref="G43:G47" si="4">F43*D43</f>
        <v>0</v>
      </c>
      <c r="H43" s="19"/>
      <c r="I43" s="15"/>
    </row>
    <row r="44" spans="1:13" ht="29.25" hidden="1">
      <c r="A44" s="12" t="s">
        <v>97</v>
      </c>
      <c r="B44" s="90" t="s">
        <v>96</v>
      </c>
      <c r="C44" s="47" t="s">
        <v>46</v>
      </c>
      <c r="D44" s="89"/>
      <c r="E44" s="31">
        <v>180</v>
      </c>
      <c r="F44" s="4"/>
      <c r="G44" s="6">
        <f>F44*D44</f>
        <v>0</v>
      </c>
      <c r="H44" s="19"/>
      <c r="I44" s="15"/>
    </row>
    <row r="45" spans="1:13" ht="29.25" hidden="1">
      <c r="A45" s="12" t="s">
        <v>99</v>
      </c>
      <c r="B45" s="90" t="s">
        <v>98</v>
      </c>
      <c r="C45" s="47" t="s">
        <v>46</v>
      </c>
      <c r="D45" s="89"/>
      <c r="E45" s="31">
        <v>6.16</v>
      </c>
      <c r="F45" s="4"/>
      <c r="G45" s="6">
        <f>F45*D45</f>
        <v>0</v>
      </c>
      <c r="H45" s="19"/>
      <c r="I45" s="15"/>
    </row>
    <row r="46" spans="1:13" hidden="1">
      <c r="A46" s="12" t="s">
        <v>138</v>
      </c>
      <c r="B46" s="90" t="s">
        <v>137</v>
      </c>
      <c r="C46" s="47" t="s">
        <v>46</v>
      </c>
      <c r="D46" s="89"/>
      <c r="E46" s="31">
        <v>695.78</v>
      </c>
      <c r="F46" s="4"/>
      <c r="G46" s="6">
        <f>F46*D46</f>
        <v>0</v>
      </c>
      <c r="H46" s="19"/>
      <c r="I46" s="15"/>
    </row>
    <row r="47" spans="1:13" ht="29.25" hidden="1">
      <c r="A47" s="12">
        <v>90838</v>
      </c>
      <c r="B47" s="28" t="s">
        <v>139</v>
      </c>
      <c r="C47" s="47" t="s">
        <v>46</v>
      </c>
      <c r="D47" s="89"/>
      <c r="E47" s="31">
        <v>650</v>
      </c>
      <c r="F47" s="4"/>
      <c r="G47" s="6">
        <f t="shared" si="4"/>
        <v>0</v>
      </c>
      <c r="H47" s="19"/>
      <c r="I47" s="15"/>
    </row>
    <row r="48" spans="1:13" hidden="1">
      <c r="A48" s="12"/>
      <c r="B48" s="39" t="s">
        <v>22</v>
      </c>
      <c r="C48" s="40"/>
      <c r="D48" s="30"/>
      <c r="E48" s="31"/>
      <c r="F48" s="4"/>
      <c r="G48" s="41">
        <f>SUM(G43:G47)</f>
        <v>0</v>
      </c>
      <c r="H48" s="19"/>
      <c r="I48" s="15"/>
    </row>
    <row r="49" spans="1:10" hidden="1">
      <c r="A49" s="12"/>
      <c r="B49" s="18" t="s">
        <v>60</v>
      </c>
      <c r="C49" s="8"/>
      <c r="D49" s="30"/>
      <c r="E49" s="31"/>
      <c r="F49" s="4"/>
      <c r="G49" s="6"/>
      <c r="H49" s="15"/>
    </row>
    <row r="50" spans="1:10" hidden="1">
      <c r="A50" s="12">
        <v>94207</v>
      </c>
      <c r="B50" s="13" t="s">
        <v>11</v>
      </c>
      <c r="C50" s="8" t="s">
        <v>4</v>
      </c>
      <c r="D50" s="30"/>
      <c r="E50" s="31">
        <v>31.06</v>
      </c>
      <c r="F50" s="4"/>
      <c r="G50" s="6">
        <f>F50*D50</f>
        <v>0</v>
      </c>
      <c r="H50" s="15"/>
    </row>
    <row r="51" spans="1:10" hidden="1">
      <c r="A51" s="12">
        <v>94449</v>
      </c>
      <c r="B51" s="13" t="s">
        <v>10</v>
      </c>
      <c r="C51" s="8" t="s">
        <v>4</v>
      </c>
      <c r="D51" s="30"/>
      <c r="E51" s="31">
        <v>39.4</v>
      </c>
      <c r="F51" s="4"/>
      <c r="G51" s="6">
        <f>F51*D51</f>
        <v>0</v>
      </c>
      <c r="H51" s="15"/>
    </row>
    <row r="52" spans="1:10" ht="29.25" hidden="1">
      <c r="A52" s="12">
        <v>94223</v>
      </c>
      <c r="B52" s="13" t="s">
        <v>12</v>
      </c>
      <c r="C52" s="8" t="s">
        <v>8</v>
      </c>
      <c r="D52" s="30"/>
      <c r="E52" s="31">
        <v>39.81</v>
      </c>
      <c r="F52" s="4"/>
      <c r="G52" s="6">
        <f>F52*D52</f>
        <v>0</v>
      </c>
      <c r="H52" s="15"/>
    </row>
    <row r="53" spans="1:10" hidden="1">
      <c r="A53" s="12">
        <v>94228</v>
      </c>
      <c r="B53" s="13" t="s">
        <v>81</v>
      </c>
      <c r="C53" s="8" t="s">
        <v>8</v>
      </c>
      <c r="D53" s="30"/>
      <c r="E53" s="31">
        <v>48.38</v>
      </c>
      <c r="F53" s="4"/>
      <c r="G53" s="6">
        <f>F53*D53</f>
        <v>0</v>
      </c>
      <c r="H53" s="15"/>
    </row>
    <row r="54" spans="1:10" hidden="1">
      <c r="A54" s="12">
        <v>89578</v>
      </c>
      <c r="B54" s="13" t="s">
        <v>82</v>
      </c>
      <c r="C54" s="8" t="s">
        <v>8</v>
      </c>
      <c r="D54" s="30"/>
      <c r="E54" s="31">
        <v>25.24</v>
      </c>
      <c r="F54" s="4"/>
      <c r="G54" s="6">
        <f>F54*D54</f>
        <v>0</v>
      </c>
      <c r="H54" s="15"/>
    </row>
    <row r="55" spans="1:10" hidden="1">
      <c r="A55" s="12"/>
      <c r="B55" s="39" t="s">
        <v>54</v>
      </c>
      <c r="C55" s="40"/>
      <c r="D55" s="44"/>
      <c r="E55" s="53"/>
      <c r="F55" s="4"/>
      <c r="G55" s="41">
        <f>SUM(G50:G54)</f>
        <v>0</v>
      </c>
      <c r="H55" s="19"/>
      <c r="I55" s="15"/>
    </row>
    <row r="56" spans="1:10">
      <c r="A56" s="12"/>
      <c r="B56" s="18" t="s">
        <v>146</v>
      </c>
      <c r="C56" s="40"/>
      <c r="D56" s="44"/>
      <c r="E56" s="53"/>
      <c r="F56" s="4"/>
      <c r="G56" s="36"/>
      <c r="H56" s="19"/>
      <c r="I56" s="15"/>
    </row>
    <row r="57" spans="1:10" ht="43.5">
      <c r="A57" s="12">
        <v>94997</v>
      </c>
      <c r="B57" s="27" t="s">
        <v>145</v>
      </c>
      <c r="C57" s="30" t="s">
        <v>46</v>
      </c>
      <c r="D57" s="30">
        <v>400</v>
      </c>
      <c r="E57" s="31">
        <v>70.12</v>
      </c>
      <c r="F57" s="4">
        <f>TRUNC(E57*(1+$C$108),2)</f>
        <v>85.7</v>
      </c>
      <c r="G57" s="32">
        <f t="shared" ref="G57:G59" si="5">F57*D57</f>
        <v>34280</v>
      </c>
      <c r="H57" s="19"/>
      <c r="I57" s="15"/>
      <c r="J57">
        <f>16.1*25.1</f>
        <v>404.11000000000007</v>
      </c>
    </row>
    <row r="58" spans="1:10">
      <c r="A58" s="12">
        <v>79460</v>
      </c>
      <c r="B58" s="27" t="s">
        <v>144</v>
      </c>
      <c r="C58" s="30" t="s">
        <v>46</v>
      </c>
      <c r="D58" s="30">
        <v>50</v>
      </c>
      <c r="E58" s="31">
        <v>44.75</v>
      </c>
      <c r="F58" s="4">
        <f>TRUNC(E58*(1+$C$108),2)</f>
        <v>54.69</v>
      </c>
      <c r="G58" s="32">
        <f t="shared" si="5"/>
        <v>2734.5</v>
      </c>
      <c r="H58" s="15"/>
    </row>
    <row r="59" spans="1:10">
      <c r="A59" s="12">
        <v>79467</v>
      </c>
      <c r="B59" s="27" t="s">
        <v>143</v>
      </c>
      <c r="C59" s="30" t="s">
        <v>8</v>
      </c>
      <c r="D59" s="30">
        <v>240</v>
      </c>
      <c r="E59" s="31">
        <v>14.1</v>
      </c>
      <c r="F59" s="4">
        <f>TRUNC(E59*(1+$C$108),2)</f>
        <v>17.23</v>
      </c>
      <c r="G59" s="32">
        <f t="shared" si="5"/>
        <v>4135.2</v>
      </c>
      <c r="H59" s="15"/>
    </row>
    <row r="60" spans="1:10">
      <c r="A60" s="12"/>
      <c r="B60" s="43" t="s">
        <v>19</v>
      </c>
      <c r="C60" s="44"/>
      <c r="D60" s="44"/>
      <c r="E60" s="53"/>
      <c r="F60" s="4"/>
      <c r="G60" s="42">
        <f>SUM(G57:G59)</f>
        <v>41149.699999999997</v>
      </c>
      <c r="H60" s="15"/>
    </row>
    <row r="61" spans="1:10" hidden="1">
      <c r="A61" s="12"/>
      <c r="B61" s="45" t="s">
        <v>61</v>
      </c>
      <c r="C61" s="44"/>
      <c r="D61" s="44"/>
      <c r="E61" s="53"/>
      <c r="F61" s="4">
        <f>TRUNC(E61*(1+$C$108),2)</f>
        <v>0</v>
      </c>
      <c r="G61" s="42"/>
      <c r="H61" s="15"/>
    </row>
    <row r="62" spans="1:10" ht="43.5" hidden="1">
      <c r="A62" s="12">
        <v>89456</v>
      </c>
      <c r="B62" s="27" t="s">
        <v>58</v>
      </c>
      <c r="C62" s="30" t="s">
        <v>46</v>
      </c>
      <c r="D62" s="30"/>
      <c r="E62" s="31">
        <v>72.7</v>
      </c>
      <c r="F62" s="4">
        <f>TRUNC(E62*(1+$C$108),2)</f>
        <v>88.86</v>
      </c>
      <c r="G62" s="31">
        <f>F62*D62</f>
        <v>0</v>
      </c>
      <c r="H62" s="15"/>
    </row>
    <row r="63" spans="1:10" ht="29.25" hidden="1">
      <c r="A63" s="12" t="s">
        <v>56</v>
      </c>
      <c r="B63" s="27" t="s">
        <v>55</v>
      </c>
      <c r="C63" s="30" t="s">
        <v>46</v>
      </c>
      <c r="D63" s="30"/>
      <c r="E63" s="31">
        <v>73.260000000000005</v>
      </c>
      <c r="F63" s="4">
        <f>TRUNC(E63*(1+$C$108),2)</f>
        <v>89.54</v>
      </c>
      <c r="G63" s="31">
        <f>F63*D63</f>
        <v>0</v>
      </c>
      <c r="H63" s="15"/>
    </row>
    <row r="64" spans="1:10" hidden="1">
      <c r="A64" s="12">
        <v>55835</v>
      </c>
      <c r="B64" s="27" t="s">
        <v>57</v>
      </c>
      <c r="C64" s="30" t="s">
        <v>38</v>
      </c>
      <c r="D64" s="30"/>
      <c r="E64" s="31">
        <v>51.78</v>
      </c>
      <c r="F64" s="4">
        <f>TRUNC(E64*(1+$C$108),2)</f>
        <v>63.29</v>
      </c>
      <c r="G64" s="31">
        <f>F64*D64</f>
        <v>0</v>
      </c>
      <c r="H64" s="15"/>
    </row>
    <row r="65" spans="1:12" hidden="1">
      <c r="A65" s="12"/>
      <c r="B65" s="43" t="s">
        <v>62</v>
      </c>
      <c r="C65" s="30"/>
      <c r="D65" s="30"/>
      <c r="E65" s="31"/>
      <c r="F65" s="4">
        <f>TRUNC(E65*(1+$C$108),2)</f>
        <v>0</v>
      </c>
      <c r="G65" s="46">
        <f>SUM(G62:G64)</f>
        <v>0</v>
      </c>
      <c r="H65" s="15"/>
    </row>
    <row r="66" spans="1:12">
      <c r="A66" s="12"/>
      <c r="B66" s="45" t="s">
        <v>147</v>
      </c>
      <c r="C66" s="30"/>
      <c r="D66" s="30"/>
      <c r="E66" s="31"/>
      <c r="F66" s="4"/>
      <c r="G66" s="46"/>
      <c r="H66" s="15"/>
    </row>
    <row r="67" spans="1:12" ht="18" customHeight="1">
      <c r="A67" s="12">
        <v>95622</v>
      </c>
      <c r="B67" s="27" t="s">
        <v>148</v>
      </c>
      <c r="C67" s="30" t="s">
        <v>46</v>
      </c>
      <c r="D67" s="30">
        <v>1100</v>
      </c>
      <c r="E67" s="31">
        <v>11.99</v>
      </c>
      <c r="F67" s="4">
        <f>TRUNC(E67*(1+$C$108),2)</f>
        <v>14.65</v>
      </c>
      <c r="G67" s="31">
        <f t="shared" ref="G67:G74" si="6">F67*D67</f>
        <v>16115</v>
      </c>
      <c r="H67" s="15"/>
    </row>
    <row r="68" spans="1:12" ht="18" customHeight="1">
      <c r="A68" s="12"/>
      <c r="B68" s="43" t="s">
        <v>155</v>
      </c>
      <c r="C68" s="30"/>
      <c r="D68" s="30"/>
      <c r="E68" s="31"/>
      <c r="F68" s="4"/>
      <c r="G68" s="46">
        <f>G67</f>
        <v>16115</v>
      </c>
      <c r="H68" s="15"/>
    </row>
    <row r="69" spans="1:12" ht="18" customHeight="1">
      <c r="A69" s="12"/>
      <c r="B69" s="45" t="s">
        <v>149</v>
      </c>
      <c r="C69" s="30"/>
      <c r="D69" s="30"/>
      <c r="E69" s="31"/>
      <c r="F69" s="4"/>
      <c r="G69" s="31"/>
      <c r="H69" s="15"/>
    </row>
    <row r="70" spans="1:12" ht="18" customHeight="1">
      <c r="A70" s="12">
        <v>72895</v>
      </c>
      <c r="B70" s="27" t="s">
        <v>152</v>
      </c>
      <c r="C70" s="30" t="s">
        <v>38</v>
      </c>
      <c r="D70" s="30">
        <f>400*0.07</f>
        <v>28.000000000000004</v>
      </c>
      <c r="E70" s="31">
        <v>20.39</v>
      </c>
      <c r="F70" s="4">
        <f>TRUNC(E70*(1+$C$108),2)</f>
        <v>24.92</v>
      </c>
      <c r="G70" s="31">
        <f t="shared" si="6"/>
        <v>697.7600000000001</v>
      </c>
      <c r="H70" s="15"/>
    </row>
    <row r="71" spans="1:12" ht="33" customHeight="1">
      <c r="A71" s="12">
        <v>97915</v>
      </c>
      <c r="B71" s="27" t="s">
        <v>153</v>
      </c>
      <c r="C71" s="30" t="s">
        <v>151</v>
      </c>
      <c r="D71" s="30">
        <v>50</v>
      </c>
      <c r="E71" s="31">
        <f>1.08*28</f>
        <v>30.240000000000002</v>
      </c>
      <c r="F71" s="4">
        <f>TRUNC(E71*(1+$C$108),2)</f>
        <v>36.96</v>
      </c>
      <c r="G71" s="31">
        <f t="shared" ref="G71" si="7">F71*D71</f>
        <v>1848</v>
      </c>
      <c r="H71" s="15"/>
    </row>
    <row r="72" spans="1:12" ht="18" customHeight="1">
      <c r="A72" s="12"/>
      <c r="B72" s="27" t="s">
        <v>150</v>
      </c>
      <c r="C72" s="30" t="s">
        <v>46</v>
      </c>
      <c r="D72" s="30">
        <v>400</v>
      </c>
      <c r="E72" s="31">
        <v>2</v>
      </c>
      <c r="F72" s="4">
        <f>TRUNC(E72*(1+$C$108),2)</f>
        <v>2.44</v>
      </c>
      <c r="G72" s="31">
        <f t="shared" ref="G72" si="8">F72*D72</f>
        <v>976</v>
      </c>
      <c r="H72" s="15"/>
    </row>
    <row r="73" spans="1:12">
      <c r="A73" s="12"/>
      <c r="B73" s="43" t="s">
        <v>154</v>
      </c>
      <c r="C73" s="30"/>
      <c r="D73" s="30"/>
      <c r="E73" s="31"/>
      <c r="F73" s="4"/>
      <c r="G73" s="46">
        <f>SUM(G70:G72)</f>
        <v>3521.76</v>
      </c>
      <c r="H73" s="15"/>
    </row>
    <row r="74" spans="1:12" hidden="1">
      <c r="A74" s="12"/>
      <c r="B74" s="45" t="s">
        <v>136</v>
      </c>
      <c r="C74" s="44"/>
      <c r="D74" s="44"/>
      <c r="E74" s="53"/>
      <c r="F74" s="4">
        <f>TRUNC(E74*(1+$C$108),2)</f>
        <v>0</v>
      </c>
      <c r="G74" s="31">
        <f t="shared" si="6"/>
        <v>0</v>
      </c>
      <c r="H74" s="15"/>
    </row>
    <row r="75" spans="1:12" hidden="1">
      <c r="A75" s="12" t="s">
        <v>102</v>
      </c>
      <c r="B75" s="27" t="s">
        <v>103</v>
      </c>
      <c r="C75" s="30" t="s">
        <v>8</v>
      </c>
      <c r="D75" s="30"/>
      <c r="E75" s="31">
        <v>48.21</v>
      </c>
      <c r="F75" s="4">
        <f>TRUNC(E75*(1+$C$108),2)</f>
        <v>58.92</v>
      </c>
      <c r="G75" s="31">
        <f>F75*D75</f>
        <v>0</v>
      </c>
      <c r="H75" s="15"/>
    </row>
    <row r="76" spans="1:12" ht="29.25" hidden="1">
      <c r="A76" s="12">
        <v>95956</v>
      </c>
      <c r="B76" s="27" t="s">
        <v>104</v>
      </c>
      <c r="C76" s="30" t="s">
        <v>38</v>
      </c>
      <c r="D76" s="30"/>
      <c r="E76" s="31">
        <v>1486.19</v>
      </c>
      <c r="F76" s="4">
        <f>TRUNC(E76*(1+$C$108),2)</f>
        <v>1816.57</v>
      </c>
      <c r="G76" s="31">
        <f>F76*D76</f>
        <v>0</v>
      </c>
      <c r="H76" s="15"/>
    </row>
    <row r="77" spans="1:12" ht="29.25" hidden="1">
      <c r="A77" s="12">
        <v>95956</v>
      </c>
      <c r="B77" s="27" t="s">
        <v>105</v>
      </c>
      <c r="C77" s="30" t="s">
        <v>38</v>
      </c>
      <c r="D77" s="30"/>
      <c r="E77" s="31">
        <f>1486.19</f>
        <v>1486.19</v>
      </c>
      <c r="F77" s="4">
        <f>TRUNC(E77*(1+$C$108),2)</f>
        <v>1816.57</v>
      </c>
      <c r="G77" s="31">
        <f>F77*D77</f>
        <v>0</v>
      </c>
      <c r="H77" s="15"/>
    </row>
    <row r="78" spans="1:12" hidden="1">
      <c r="A78" s="12">
        <v>96995</v>
      </c>
      <c r="B78" s="27" t="s">
        <v>106</v>
      </c>
      <c r="C78" s="30" t="s">
        <v>38</v>
      </c>
      <c r="D78" s="30"/>
      <c r="E78" s="31">
        <v>39.020000000000003</v>
      </c>
      <c r="F78" s="4">
        <f t="shared" ref="F78:F105" si="9">TRUNC(E78*(1+$C$108),2)</f>
        <v>47.69</v>
      </c>
      <c r="G78" s="31">
        <f t="shared" ref="G78:G104" si="10">F78*D78</f>
        <v>0</v>
      </c>
      <c r="H78" s="15"/>
      <c r="L78">
        <f>3.75+4.88+7.15+9.75+11.19+11.22+14.18+5.65+14.29+10.88+6.38+11.63+31.74</f>
        <v>142.69</v>
      </c>
    </row>
    <row r="79" spans="1:12" ht="29.25" hidden="1">
      <c r="A79" s="12">
        <v>89978</v>
      </c>
      <c r="B79" s="27" t="s">
        <v>107</v>
      </c>
      <c r="C79" s="30" t="s">
        <v>46</v>
      </c>
      <c r="D79" s="30"/>
      <c r="E79" s="31">
        <v>69.959999999999994</v>
      </c>
      <c r="F79" s="4">
        <f t="shared" si="9"/>
        <v>85.51</v>
      </c>
      <c r="G79" s="31">
        <f t="shared" si="10"/>
        <v>0</v>
      </c>
      <c r="H79" s="15"/>
    </row>
    <row r="80" spans="1:12" ht="29.25" hidden="1">
      <c r="A80" s="12">
        <v>87775</v>
      </c>
      <c r="B80" s="27" t="s">
        <v>108</v>
      </c>
      <c r="C80" s="30" t="s">
        <v>46</v>
      </c>
      <c r="D80" s="30"/>
      <c r="E80" s="31">
        <f>41.68</f>
        <v>41.68</v>
      </c>
      <c r="F80" s="4">
        <f t="shared" si="9"/>
        <v>50.94</v>
      </c>
      <c r="G80" s="31">
        <f t="shared" si="10"/>
        <v>0</v>
      </c>
      <c r="H80" s="15"/>
    </row>
    <row r="81" spans="1:9" ht="86.25" hidden="1">
      <c r="A81" s="13" t="s">
        <v>110</v>
      </c>
      <c r="B81" s="87" t="s">
        <v>109</v>
      </c>
      <c r="C81" s="30" t="s">
        <v>46</v>
      </c>
      <c r="D81" s="30"/>
      <c r="E81" s="31">
        <f>21.71*0.25+16.27*0.25+0.8*0.78+0.008*70</f>
        <v>10.679000000000002</v>
      </c>
      <c r="F81" s="4">
        <f t="shared" si="9"/>
        <v>13.05</v>
      </c>
      <c r="G81" s="31">
        <f t="shared" si="10"/>
        <v>0</v>
      </c>
      <c r="H81" s="15"/>
    </row>
    <row r="82" spans="1:9" hidden="1">
      <c r="A82" s="12">
        <v>42723</v>
      </c>
      <c r="B82" s="27" t="s">
        <v>140</v>
      </c>
      <c r="C82" s="30" t="s">
        <v>46</v>
      </c>
      <c r="D82" s="30"/>
      <c r="E82" s="31">
        <f>219.88/1.2784</f>
        <v>171.99624530663328</v>
      </c>
      <c r="F82" s="4">
        <f t="shared" si="9"/>
        <v>210.23</v>
      </c>
      <c r="G82" s="31">
        <f t="shared" si="10"/>
        <v>0</v>
      </c>
      <c r="H82" s="15"/>
    </row>
    <row r="83" spans="1:9" hidden="1">
      <c r="A83" s="12">
        <v>94449</v>
      </c>
      <c r="B83" s="27" t="s">
        <v>10</v>
      </c>
      <c r="C83" s="30" t="s">
        <v>46</v>
      </c>
      <c r="D83" s="30"/>
      <c r="E83" s="31">
        <v>39.4</v>
      </c>
      <c r="F83" s="4">
        <f t="shared" si="9"/>
        <v>48.15</v>
      </c>
      <c r="G83" s="31">
        <f t="shared" si="10"/>
        <v>0</v>
      </c>
      <c r="H83" s="15"/>
    </row>
    <row r="84" spans="1:9" hidden="1">
      <c r="A84" s="12">
        <v>94559</v>
      </c>
      <c r="B84" s="27" t="s">
        <v>111</v>
      </c>
      <c r="C84" s="30" t="s">
        <v>46</v>
      </c>
      <c r="D84" s="30"/>
      <c r="E84" s="31">
        <v>450.78</v>
      </c>
      <c r="F84" s="4">
        <f t="shared" si="9"/>
        <v>550.98</v>
      </c>
      <c r="G84" s="31">
        <f t="shared" si="10"/>
        <v>0</v>
      </c>
      <c r="H84" s="15"/>
    </row>
    <row r="85" spans="1:9" ht="29.25" hidden="1">
      <c r="A85" s="12" t="s">
        <v>113</v>
      </c>
      <c r="B85" s="27" t="s">
        <v>112</v>
      </c>
      <c r="C85" s="30" t="s">
        <v>46</v>
      </c>
      <c r="D85" s="30"/>
      <c r="E85" s="31">
        <f>375.87/1.2784</f>
        <v>294.0159574468085</v>
      </c>
      <c r="F85" s="4">
        <f t="shared" si="9"/>
        <v>359.37</v>
      </c>
      <c r="G85" s="31">
        <f t="shared" si="10"/>
        <v>0</v>
      </c>
      <c r="H85" s="15"/>
      <c r="I85" s="15"/>
    </row>
    <row r="86" spans="1:9" ht="43.5" hidden="1">
      <c r="A86" s="12" t="s">
        <v>114</v>
      </c>
      <c r="B86" s="27" t="s">
        <v>115</v>
      </c>
      <c r="C86" s="30" t="s">
        <v>46</v>
      </c>
      <c r="D86" s="30"/>
      <c r="E86" s="31">
        <f>83.09/1.2784</f>
        <v>64.995306633291619</v>
      </c>
      <c r="F86" s="4">
        <f t="shared" si="9"/>
        <v>79.44</v>
      </c>
      <c r="G86" s="31">
        <f t="shared" si="10"/>
        <v>0</v>
      </c>
      <c r="H86" s="15"/>
    </row>
    <row r="87" spans="1:9" hidden="1">
      <c r="A87" s="12">
        <v>87302</v>
      </c>
      <c r="B87" s="27" t="s">
        <v>116</v>
      </c>
      <c r="C87" s="30" t="s">
        <v>38</v>
      </c>
      <c r="D87" s="30"/>
      <c r="E87" s="31">
        <v>382.94</v>
      </c>
      <c r="F87" s="4">
        <f t="shared" si="9"/>
        <v>468.06</v>
      </c>
      <c r="G87" s="31">
        <f t="shared" si="10"/>
        <v>0</v>
      </c>
      <c r="H87" s="15"/>
    </row>
    <row r="88" spans="1:9" ht="29.25" hidden="1">
      <c r="A88" s="12">
        <v>87248</v>
      </c>
      <c r="B88" s="27" t="s">
        <v>117</v>
      </c>
      <c r="C88" s="30" t="s">
        <v>46</v>
      </c>
      <c r="D88" s="30"/>
      <c r="E88" s="31">
        <v>27.5</v>
      </c>
      <c r="F88" s="4">
        <f t="shared" si="9"/>
        <v>33.61</v>
      </c>
      <c r="G88" s="31">
        <f t="shared" si="10"/>
        <v>0</v>
      </c>
      <c r="H88" s="15"/>
    </row>
    <row r="89" spans="1:9" hidden="1">
      <c r="A89" s="12">
        <v>91785</v>
      </c>
      <c r="B89" s="27" t="s">
        <v>118</v>
      </c>
      <c r="C89" s="30" t="s">
        <v>8</v>
      </c>
      <c r="D89" s="30"/>
      <c r="E89" s="31">
        <v>33.61</v>
      </c>
      <c r="F89" s="4">
        <f t="shared" si="9"/>
        <v>41.08</v>
      </c>
      <c r="G89" s="31">
        <f t="shared" si="10"/>
        <v>0</v>
      </c>
      <c r="H89" s="15"/>
    </row>
    <row r="90" spans="1:9" ht="29.25" hidden="1">
      <c r="A90" s="12">
        <v>91786</v>
      </c>
      <c r="B90" s="27" t="s">
        <v>119</v>
      </c>
      <c r="C90" s="30" t="s">
        <v>8</v>
      </c>
      <c r="D90" s="30"/>
      <c r="E90" s="31">
        <v>20.440000000000001</v>
      </c>
      <c r="F90" s="4">
        <f t="shared" si="9"/>
        <v>24.98</v>
      </c>
      <c r="G90" s="31">
        <f t="shared" si="10"/>
        <v>0</v>
      </c>
      <c r="H90" s="15"/>
    </row>
    <row r="91" spans="1:9" ht="29.25" hidden="1">
      <c r="A91" s="12">
        <v>91793</v>
      </c>
      <c r="B91" s="27" t="s">
        <v>132</v>
      </c>
      <c r="C91" s="30" t="s">
        <v>8</v>
      </c>
      <c r="D91" s="30"/>
      <c r="E91" s="31">
        <v>63.19</v>
      </c>
      <c r="F91" s="4">
        <f t="shared" si="9"/>
        <v>77.23</v>
      </c>
      <c r="G91" s="31">
        <f t="shared" si="10"/>
        <v>0</v>
      </c>
      <c r="H91" s="15"/>
    </row>
    <row r="92" spans="1:9" ht="29.25" hidden="1">
      <c r="A92" s="12">
        <v>91795</v>
      </c>
      <c r="B92" s="27" t="s">
        <v>133</v>
      </c>
      <c r="C92" s="30" t="s">
        <v>8</v>
      </c>
      <c r="D92" s="30"/>
      <c r="E92" s="31">
        <v>47.11</v>
      </c>
      <c r="F92" s="4">
        <f t="shared" si="9"/>
        <v>57.58</v>
      </c>
      <c r="G92" s="31">
        <f t="shared" si="10"/>
        <v>0</v>
      </c>
      <c r="H92" s="15"/>
    </row>
    <row r="93" spans="1:9" hidden="1">
      <c r="A93" s="12">
        <v>72289</v>
      </c>
      <c r="B93" s="27" t="s">
        <v>135</v>
      </c>
      <c r="C93" s="30" t="s">
        <v>6</v>
      </c>
      <c r="D93" s="30"/>
      <c r="E93" s="31">
        <v>368.79</v>
      </c>
      <c r="F93" s="4">
        <f t="shared" si="9"/>
        <v>450.77</v>
      </c>
      <c r="G93" s="31">
        <f t="shared" si="10"/>
        <v>0</v>
      </c>
      <c r="H93" s="15"/>
    </row>
    <row r="94" spans="1:9" hidden="1">
      <c r="A94" s="12">
        <v>89709</v>
      </c>
      <c r="B94" s="27" t="s">
        <v>134</v>
      </c>
      <c r="C94" s="30" t="s">
        <v>6</v>
      </c>
      <c r="D94" s="30"/>
      <c r="E94" s="31">
        <v>7.18</v>
      </c>
      <c r="F94" s="4">
        <f t="shared" si="9"/>
        <v>8.77</v>
      </c>
      <c r="G94" s="31">
        <f t="shared" si="10"/>
        <v>0</v>
      </c>
      <c r="H94" s="15"/>
    </row>
    <row r="95" spans="1:9" ht="29.25" hidden="1">
      <c r="A95" s="12" t="s">
        <v>17</v>
      </c>
      <c r="B95" s="27" t="s">
        <v>120</v>
      </c>
      <c r="C95" s="30" t="s">
        <v>6</v>
      </c>
      <c r="D95" s="30"/>
      <c r="E95" s="31">
        <v>2000</v>
      </c>
      <c r="F95" s="4">
        <f t="shared" si="9"/>
        <v>2444.6</v>
      </c>
      <c r="G95" s="31">
        <f t="shared" si="10"/>
        <v>0</v>
      </c>
      <c r="H95" s="15"/>
    </row>
    <row r="96" spans="1:9" ht="29.25" hidden="1">
      <c r="A96" s="12" t="s">
        <v>17</v>
      </c>
      <c r="B96" s="27" t="s">
        <v>121</v>
      </c>
      <c r="C96" s="30" t="s">
        <v>6</v>
      </c>
      <c r="D96" s="30"/>
      <c r="E96" s="31">
        <v>2000</v>
      </c>
      <c r="F96" s="4">
        <f t="shared" si="9"/>
        <v>2444.6</v>
      </c>
      <c r="G96" s="31">
        <f t="shared" si="10"/>
        <v>0</v>
      </c>
      <c r="H96" s="15"/>
    </row>
    <row r="97" spans="1:8" ht="29.25" hidden="1">
      <c r="A97" s="12" t="s">
        <v>122</v>
      </c>
      <c r="B97" s="27" t="s">
        <v>123</v>
      </c>
      <c r="C97" s="30" t="s">
        <v>6</v>
      </c>
      <c r="D97" s="30"/>
      <c r="E97" s="31">
        <v>1349.62</v>
      </c>
      <c r="F97" s="4">
        <f t="shared" si="9"/>
        <v>1649.64</v>
      </c>
      <c r="G97" s="31">
        <f t="shared" si="10"/>
        <v>0</v>
      </c>
      <c r="H97" s="15"/>
    </row>
    <row r="98" spans="1:8" ht="29.25" hidden="1">
      <c r="A98" s="12" t="s">
        <v>17</v>
      </c>
      <c r="B98" s="27" t="s">
        <v>124</v>
      </c>
      <c r="C98" s="30" t="s">
        <v>6</v>
      </c>
      <c r="D98" s="30"/>
      <c r="E98" s="31">
        <v>555</v>
      </c>
      <c r="F98" s="4">
        <f t="shared" si="9"/>
        <v>678.37</v>
      </c>
      <c r="G98" s="31">
        <f t="shared" si="10"/>
        <v>0</v>
      </c>
      <c r="H98" s="15"/>
    </row>
    <row r="99" spans="1:8" ht="29.25" hidden="1">
      <c r="A99" s="12">
        <v>86931</v>
      </c>
      <c r="B99" s="27" t="s">
        <v>125</v>
      </c>
      <c r="C99" s="30" t="s">
        <v>6</v>
      </c>
      <c r="D99" s="30"/>
      <c r="E99" s="31">
        <v>300</v>
      </c>
      <c r="F99" s="4">
        <f t="shared" si="9"/>
        <v>366.69</v>
      </c>
      <c r="G99" s="31">
        <f t="shared" si="10"/>
        <v>0</v>
      </c>
      <c r="H99" s="15"/>
    </row>
    <row r="100" spans="1:8" ht="29.25" hidden="1">
      <c r="A100" s="12">
        <v>86932</v>
      </c>
      <c r="B100" s="27" t="s">
        <v>126</v>
      </c>
      <c r="C100" s="30" t="s">
        <v>6</v>
      </c>
      <c r="D100" s="30"/>
      <c r="E100" s="31">
        <v>429.13</v>
      </c>
      <c r="F100" s="4">
        <f t="shared" si="9"/>
        <v>524.52</v>
      </c>
      <c r="G100" s="31">
        <f t="shared" si="10"/>
        <v>0</v>
      </c>
      <c r="H100" s="15"/>
    </row>
    <row r="101" spans="1:8" ht="29.25" hidden="1">
      <c r="A101" s="12">
        <v>86901</v>
      </c>
      <c r="B101" s="27" t="s">
        <v>130</v>
      </c>
      <c r="C101" s="30" t="s">
        <v>6</v>
      </c>
      <c r="D101" s="30"/>
      <c r="E101" s="31">
        <v>119.61</v>
      </c>
      <c r="F101" s="4">
        <f t="shared" si="9"/>
        <v>146.19</v>
      </c>
      <c r="G101" s="31">
        <f t="shared" si="10"/>
        <v>0</v>
      </c>
      <c r="H101" s="15"/>
    </row>
    <row r="102" spans="1:8" hidden="1">
      <c r="A102" s="12"/>
      <c r="B102" s="27" t="s">
        <v>131</v>
      </c>
      <c r="C102" s="30" t="s">
        <v>6</v>
      </c>
      <c r="D102" s="30"/>
      <c r="E102" s="31">
        <v>75.8</v>
      </c>
      <c r="F102" s="4">
        <f t="shared" si="9"/>
        <v>92.65</v>
      </c>
      <c r="G102" s="31">
        <f t="shared" si="10"/>
        <v>0</v>
      </c>
      <c r="H102" s="15"/>
    </row>
    <row r="103" spans="1:8" hidden="1">
      <c r="A103" s="12">
        <v>86895</v>
      </c>
      <c r="B103" s="27" t="s">
        <v>127</v>
      </c>
      <c r="C103" s="30" t="s">
        <v>6</v>
      </c>
      <c r="D103" s="30"/>
      <c r="E103" s="31">
        <v>224.08</v>
      </c>
      <c r="F103" s="4">
        <f t="shared" si="9"/>
        <v>273.89</v>
      </c>
      <c r="G103" s="31">
        <f t="shared" si="10"/>
        <v>0</v>
      </c>
      <c r="H103" s="15"/>
    </row>
    <row r="104" spans="1:8" ht="29.25" hidden="1">
      <c r="A104" s="12" t="s">
        <v>129</v>
      </c>
      <c r="B104" s="27" t="s">
        <v>128</v>
      </c>
      <c r="C104" s="30" t="s">
        <v>6</v>
      </c>
      <c r="D104" s="30"/>
      <c r="E104" s="31">
        <v>287.60000000000002</v>
      </c>
      <c r="F104" s="4">
        <f t="shared" si="9"/>
        <v>351.53</v>
      </c>
      <c r="G104" s="31">
        <f t="shared" si="10"/>
        <v>0</v>
      </c>
      <c r="H104" s="15"/>
    </row>
    <row r="105" spans="1:8" hidden="1">
      <c r="A105" s="12"/>
      <c r="B105" s="43" t="s">
        <v>62</v>
      </c>
      <c r="C105" s="30"/>
      <c r="D105" s="30"/>
      <c r="E105" s="31"/>
      <c r="F105" s="4">
        <f t="shared" si="9"/>
        <v>0</v>
      </c>
      <c r="G105" s="46">
        <f>SUM(G75:G104)</f>
        <v>0</v>
      </c>
      <c r="H105" s="15"/>
    </row>
    <row r="106" spans="1:8" hidden="1">
      <c r="A106" s="12"/>
      <c r="B106" s="43"/>
      <c r="C106" s="30"/>
      <c r="D106" s="30"/>
      <c r="E106" s="31"/>
      <c r="F106" s="4">
        <f>TRUNC(E106*(1+$C$108),2)</f>
        <v>0</v>
      </c>
      <c r="G106" s="46"/>
      <c r="H106" s="15"/>
    </row>
    <row r="107" spans="1:8" ht="19.5" customHeight="1">
      <c r="A107" s="12"/>
      <c r="B107" s="54" t="s">
        <v>7</v>
      </c>
      <c r="C107" s="54"/>
      <c r="D107" s="54"/>
      <c r="E107" s="54"/>
      <c r="F107" s="4"/>
      <c r="G107" s="16">
        <f>G14+G20+G60+G68+G73</f>
        <v>74248.710399999996</v>
      </c>
      <c r="H107" s="15"/>
    </row>
    <row r="108" spans="1:8" ht="19.5" customHeight="1">
      <c r="A108" s="12"/>
      <c r="B108" s="54" t="s">
        <v>14</v>
      </c>
      <c r="C108" s="55">
        <v>0.2223</v>
      </c>
      <c r="D108" s="54"/>
      <c r="E108" s="54"/>
      <c r="F108" s="4"/>
      <c r="G108" s="16"/>
      <c r="H108" s="15"/>
    </row>
  </sheetData>
  <mergeCells count="4">
    <mergeCell ref="B1:G1"/>
    <mergeCell ref="B2:G2"/>
    <mergeCell ref="A24:A25"/>
    <mergeCell ref="A28:A32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1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cronograma 2</vt:lpstr>
      <vt:lpstr>Plan2</vt:lpstr>
      <vt:lpstr>orçamento FEITO</vt:lpstr>
      <vt:lpstr>'cronograma 2'!Area_de_impressao</vt:lpstr>
      <vt:lpstr>'orçamento FEITO'!Area_de_impressao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Prefeitura</dc:creator>
  <cp:lastModifiedBy>Prefeitura</cp:lastModifiedBy>
  <cp:lastPrinted>2019-07-09T16:03:17Z</cp:lastPrinted>
  <dcterms:created xsi:type="dcterms:W3CDTF">2014-09-18T17:11:12Z</dcterms:created>
  <dcterms:modified xsi:type="dcterms:W3CDTF">2019-07-09T16:03:19Z</dcterms:modified>
</cp:coreProperties>
</file>